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omments2.xml" ContentType="application/vnd.openxmlformats-officedocument.spreadsheetml.comments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comments3.xml" ContentType="application/vnd.openxmlformats-officedocument.spreadsheetml.comments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comments4.xml" ContentType="application/vnd.openxmlformats-officedocument.spreadsheetml.comments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comments5.xml" ContentType="application/vnd.openxmlformats-officedocument.spreadsheetml.comments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comments6.xml" ContentType="application/vnd.openxmlformats-officedocument.spreadsheetml.comments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comments7.xml" ContentType="application/vnd.openxmlformats-officedocument.spreadsheetml.comments+xml"/>
  <Override PartName="/xl/tables/table1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Shared\Bureau of Payments (LRS, LAS)\LRS_files\Mandated Reports\"/>
    </mc:Choice>
  </mc:AlternateContent>
  <bookViews>
    <workbookView xWindow="0" yWindow="0" windowWidth="28800" windowHeight="11700"/>
  </bookViews>
  <sheets>
    <sheet name="Cover Page" sheetId="17" r:id="rId1"/>
    <sheet name="Table of Contents" sheetId="16" r:id="rId2"/>
    <sheet name="Schedule A-Summary " sheetId="13" r:id="rId3"/>
    <sheet name="Schedule A1-Local Agencies" sheetId="14" r:id="rId4"/>
    <sheet name="Schedule A1-Schools " sheetId="15" r:id="rId5"/>
    <sheet name="Schedule B-Summary" sheetId="18" r:id="rId6"/>
    <sheet name="Schedule B1-Local Agencies" sheetId="20" r:id="rId7"/>
    <sheet name="Schedule B1-Schools" sheetId="21" r:id="rId8"/>
    <sheet name="Schedule B1-Colleges" sheetId="22" r:id="rId9"/>
    <sheet name="Schedule B2-Local Agencies" sheetId="23" r:id="rId10"/>
    <sheet name="Schedule C-IRC" sheetId="19" r:id="rId11"/>
  </sheets>
  <externalReferences>
    <externalReference r:id="rId12"/>
  </externalReferences>
  <definedNames>
    <definedName name="_xlnm._FilterDatabase" localSheetId="3" hidden="1">'Schedule A1-Local Agencies'!#REF!</definedName>
    <definedName name="_xlnm._FilterDatabase" localSheetId="8" hidden="1">'Schedule B1-Colleges'!#REF!</definedName>
    <definedName name="_xlnm._FilterDatabase" localSheetId="6" hidden="1">'Schedule B1-Local Agencies'!#REF!</definedName>
    <definedName name="_xlnm._FilterDatabase" localSheetId="7" hidden="1">'Schedule B1-Schools'!#REF!</definedName>
    <definedName name="_xlnm._FilterDatabase" localSheetId="9" hidden="1">'Schedule B2-Local Agencies'!$A$3:$L$205</definedName>
    <definedName name="_xlnm._FilterDatabase" localSheetId="10" hidden="1">'Schedule C-IRC'!#REF!</definedName>
    <definedName name="a" localSheetId="0">'[1]Analysis (2)'!#REF!</definedName>
    <definedName name="a" localSheetId="3">'[1]Analysis (2)'!#REF!</definedName>
    <definedName name="a" localSheetId="4">'[1]Analysis (2)'!#REF!</definedName>
    <definedName name="a" localSheetId="2">'[1]Analysis (2)'!#REF!</definedName>
    <definedName name="a" localSheetId="8">'[1]Analysis (2)'!#REF!</definedName>
    <definedName name="a" localSheetId="6">'[1]Analysis (2)'!#REF!</definedName>
    <definedName name="a" localSheetId="7">'[1]Analysis (2)'!#REF!</definedName>
    <definedName name="a" localSheetId="9">'[1]Analysis (2)'!#REF!</definedName>
    <definedName name="a" localSheetId="5">'[1]Analysis (2)'!#REF!</definedName>
    <definedName name="a" localSheetId="1">'[1]Analysis (2)'!#REF!</definedName>
    <definedName name="a">'[1]Analysis (2)'!#REF!</definedName>
    <definedName name="NO">'[1]Analysis (2)'!#REF!</definedName>
    <definedName name="OLE_LINK1" localSheetId="10">'Schedule C-IRC'!#REF!</definedName>
    <definedName name="OLE_LINK2" localSheetId="10">'Schedule C-IRC'!#REF!</definedName>
    <definedName name="_xlnm.Print_Area" localSheetId="3">'Schedule A1-Local Agencies'!$A$1:$I$90</definedName>
    <definedName name="_xlnm.Print_Area" localSheetId="4">'Schedule A1-Schools '!$A$1:$I$34</definedName>
    <definedName name="_xlnm.Print_Area" localSheetId="2">'Schedule A-Summary '!$A$1:$O$50</definedName>
    <definedName name="_xlnm.Print_Area" localSheetId="8">'Schedule B1-Colleges'!$A$1:$L$146</definedName>
    <definedName name="_xlnm.Print_Area" localSheetId="6">'Schedule B1-Local Agencies'!$A$1:$L$315</definedName>
    <definedName name="_xlnm.Print_Area" localSheetId="7">'Schedule B1-Schools'!$A$1:$L$992</definedName>
    <definedName name="_xlnm.Print_Area" localSheetId="9">'Schedule B2-Local Agencies'!$A$1:$L$230</definedName>
    <definedName name="_xlnm.Print_Area" localSheetId="5">'Schedule B-Summary'!$A$1:$O$41</definedName>
    <definedName name="_xlnm.Print_Area" localSheetId="10">'Schedule C-IRC'!$A$1:$L$4</definedName>
    <definedName name="Z_46A5F4C4_D6EC_4577_9252_7F0135FFA4BE_.wvu.FilterData" localSheetId="10" hidden="1">'Schedule C-IRC'!#REF!</definedName>
    <definedName name="Z_46A5F4C4_D6EC_4577_9252_7F0135FFA4BE_.wvu.PrintTitles" localSheetId="10" hidden="1">'Schedule C-IRC'!#REF!</definedName>
    <definedName name="Z_85542589_1418_4924_A03E_DB2C0542A892_.wvu.FilterData" localSheetId="10" hidden="1">'Schedule C-IRC'!#REF!</definedName>
    <definedName name="Z_85542589_1418_4924_A03E_DB2C0542A892_.wvu.PrintTitles" localSheetId="10" hidden="1">'Schedule C-IRC'!#REF!</definedName>
    <definedName name="Z_92652916_34E3_4B04_B100_8F20056C4A1B_.wvu.FilterData" localSheetId="10" hidden="1">'Schedule C-IRC'!#REF!</definedName>
    <definedName name="Z_92652916_34E3_4B04_B100_8F20056C4A1B_.wvu.PrintTitles" localSheetId="10" hidden="1">'Schedule C-IRC'!#REF!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0" i="14" l="1"/>
  <c r="H70" i="14"/>
  <c r="G66" i="14"/>
  <c r="H66" i="14"/>
  <c r="I70" i="14"/>
  <c r="I66" i="14"/>
  <c r="E30" i="20" l="1"/>
  <c r="F30" i="20"/>
  <c r="G30" i="20"/>
  <c r="H30" i="20"/>
  <c r="I30" i="20"/>
  <c r="J30" i="20"/>
  <c r="K30" i="20"/>
  <c r="L30" i="20"/>
  <c r="L228" i="23" l="1"/>
  <c r="K228" i="23"/>
  <c r="J228" i="23"/>
  <c r="I228" i="23"/>
  <c r="H228" i="23"/>
  <c r="G228" i="23"/>
  <c r="F228" i="23"/>
  <c r="L224" i="23"/>
  <c r="K224" i="23"/>
  <c r="J224" i="23"/>
  <c r="I224" i="23"/>
  <c r="H224" i="23"/>
  <c r="G224" i="23"/>
  <c r="F224" i="23"/>
  <c r="L206" i="23"/>
  <c r="K206" i="23"/>
  <c r="J206" i="23"/>
  <c r="I206" i="23"/>
  <c r="H206" i="23"/>
  <c r="G206" i="23"/>
  <c r="F206" i="23"/>
  <c r="L192" i="23"/>
  <c r="K192" i="23"/>
  <c r="J192" i="23"/>
  <c r="I192" i="23"/>
  <c r="H192" i="23"/>
  <c r="G192" i="23"/>
  <c r="F192" i="23"/>
  <c r="L182" i="23"/>
  <c r="K182" i="23"/>
  <c r="J182" i="23"/>
  <c r="I182" i="23"/>
  <c r="H182" i="23"/>
  <c r="G182" i="23"/>
  <c r="F182" i="23"/>
  <c r="K168" i="23"/>
  <c r="J168" i="23"/>
  <c r="I168" i="23"/>
  <c r="G168" i="23"/>
  <c r="F168" i="23"/>
  <c r="H168" i="23"/>
  <c r="L145" i="23"/>
  <c r="K145" i="23"/>
  <c r="J145" i="23"/>
  <c r="I145" i="23"/>
  <c r="H145" i="23"/>
  <c r="G145" i="23"/>
  <c r="F145" i="23"/>
  <c r="L135" i="23"/>
  <c r="K135" i="23"/>
  <c r="J135" i="23"/>
  <c r="I135" i="23"/>
  <c r="H135" i="23"/>
  <c r="G135" i="23"/>
  <c r="F135" i="23"/>
  <c r="K122" i="23"/>
  <c r="J122" i="23"/>
  <c r="I122" i="23"/>
  <c r="G122" i="23"/>
  <c r="F122" i="23"/>
  <c r="H122" i="23"/>
  <c r="L98" i="23"/>
  <c r="K98" i="23"/>
  <c r="J98" i="23"/>
  <c r="I98" i="23"/>
  <c r="H98" i="23"/>
  <c r="G98" i="23"/>
  <c r="F98" i="23"/>
  <c r="L93" i="23"/>
  <c r="K93" i="23"/>
  <c r="J93" i="23"/>
  <c r="I93" i="23"/>
  <c r="H93" i="23"/>
  <c r="G93" i="23"/>
  <c r="F93" i="23"/>
  <c r="K74" i="23"/>
  <c r="J74" i="23"/>
  <c r="I74" i="23"/>
  <c r="G74" i="23"/>
  <c r="F74" i="23"/>
  <c r="L60" i="23"/>
  <c r="K60" i="23"/>
  <c r="J60" i="23"/>
  <c r="I60" i="23"/>
  <c r="H60" i="23"/>
  <c r="G60" i="23"/>
  <c r="F60" i="23"/>
  <c r="L47" i="23"/>
  <c r="K47" i="23"/>
  <c r="J47" i="23"/>
  <c r="I47" i="23"/>
  <c r="H47" i="23"/>
  <c r="G47" i="23"/>
  <c r="F47" i="23"/>
  <c r="L32" i="23"/>
  <c r="K32" i="23"/>
  <c r="J32" i="23"/>
  <c r="I32" i="23"/>
  <c r="H32" i="23"/>
  <c r="G32" i="23"/>
  <c r="F32" i="23"/>
  <c r="K19" i="23"/>
  <c r="J19" i="23"/>
  <c r="I19" i="23"/>
  <c r="G19" i="23"/>
  <c r="F19" i="23"/>
  <c r="H19" i="23"/>
  <c r="L5" i="23"/>
  <c r="K5" i="23"/>
  <c r="J5" i="23"/>
  <c r="I5" i="23"/>
  <c r="H5" i="23"/>
  <c r="G5" i="23"/>
  <c r="F5" i="23"/>
  <c r="L168" i="23" l="1"/>
  <c r="L19" i="23"/>
  <c r="L74" i="23"/>
  <c r="L122" i="23"/>
  <c r="H74" i="23"/>
  <c r="L144" i="22"/>
  <c r="K144" i="22"/>
  <c r="J144" i="22"/>
  <c r="I144" i="22"/>
  <c r="H144" i="22"/>
  <c r="F144" i="22"/>
  <c r="E144" i="22"/>
  <c r="L138" i="22"/>
  <c r="K138" i="22"/>
  <c r="J138" i="22"/>
  <c r="I138" i="22"/>
  <c r="H138" i="22"/>
  <c r="F138" i="22"/>
  <c r="E138" i="22"/>
  <c r="L119" i="22"/>
  <c r="K119" i="22"/>
  <c r="J119" i="22"/>
  <c r="I119" i="22"/>
  <c r="H119" i="22"/>
  <c r="F119" i="22"/>
  <c r="E119" i="22"/>
  <c r="L115" i="22"/>
  <c r="K115" i="22"/>
  <c r="J115" i="22"/>
  <c r="I115" i="22"/>
  <c r="H115" i="22"/>
  <c r="F115" i="22"/>
  <c r="E115" i="22"/>
  <c r="L111" i="22"/>
  <c r="K111" i="22"/>
  <c r="J111" i="22"/>
  <c r="I111" i="22"/>
  <c r="H111" i="22"/>
  <c r="F111" i="22"/>
  <c r="E111" i="22"/>
  <c r="L107" i="22"/>
  <c r="K107" i="22"/>
  <c r="J107" i="22"/>
  <c r="I107" i="22"/>
  <c r="H107" i="22"/>
  <c r="F107" i="22"/>
  <c r="E107" i="22"/>
  <c r="L101" i="22"/>
  <c r="K101" i="22"/>
  <c r="J101" i="22"/>
  <c r="I101" i="22"/>
  <c r="H101" i="22"/>
  <c r="F101" i="22"/>
  <c r="E101" i="22"/>
  <c r="L95" i="22"/>
  <c r="K95" i="22"/>
  <c r="J95" i="22"/>
  <c r="I95" i="22"/>
  <c r="H95" i="22"/>
  <c r="F95" i="22"/>
  <c r="E95" i="22"/>
  <c r="L91" i="22"/>
  <c r="K91" i="22"/>
  <c r="J91" i="22"/>
  <c r="I91" i="22"/>
  <c r="H91" i="22"/>
  <c r="F91" i="22"/>
  <c r="E91" i="22"/>
  <c r="L85" i="22"/>
  <c r="K85" i="22"/>
  <c r="J85" i="22"/>
  <c r="I85" i="22"/>
  <c r="H85" i="22"/>
  <c r="F85" i="22"/>
  <c r="E85" i="22"/>
  <c r="L74" i="22"/>
  <c r="K74" i="22"/>
  <c r="J74" i="22"/>
  <c r="I74" i="22"/>
  <c r="H74" i="22"/>
  <c r="F74" i="22"/>
  <c r="E74" i="22"/>
  <c r="L61" i="22"/>
  <c r="K61" i="22"/>
  <c r="J61" i="22"/>
  <c r="I61" i="22"/>
  <c r="H61" i="22"/>
  <c r="F61" i="22"/>
  <c r="E61" i="22"/>
  <c r="L50" i="22"/>
  <c r="K50" i="22"/>
  <c r="J50" i="22"/>
  <c r="I50" i="22"/>
  <c r="H50" i="22"/>
  <c r="F50" i="22"/>
  <c r="E50" i="22"/>
  <c r="L40" i="22"/>
  <c r="K40" i="22"/>
  <c r="J40" i="22"/>
  <c r="I40" i="22"/>
  <c r="H40" i="22"/>
  <c r="F40" i="22"/>
  <c r="E40" i="22"/>
  <c r="L31" i="22"/>
  <c r="K31" i="22"/>
  <c r="J31" i="22"/>
  <c r="I31" i="22"/>
  <c r="H31" i="22"/>
  <c r="F31" i="22"/>
  <c r="E31" i="22"/>
  <c r="L20" i="22"/>
  <c r="K20" i="22"/>
  <c r="J20" i="22"/>
  <c r="I20" i="22"/>
  <c r="H20" i="22"/>
  <c r="F20" i="22"/>
  <c r="E20" i="22"/>
  <c r="L12" i="22"/>
  <c r="K12" i="22"/>
  <c r="J12" i="22"/>
  <c r="I12" i="22"/>
  <c r="H12" i="22"/>
  <c r="F12" i="22"/>
  <c r="E12" i="22"/>
  <c r="L6" i="22"/>
  <c r="K6" i="22"/>
  <c r="J6" i="22"/>
  <c r="I6" i="22"/>
  <c r="H6" i="22"/>
  <c r="F6" i="22"/>
  <c r="E6" i="22"/>
  <c r="L990" i="21" l="1"/>
  <c r="K990" i="21"/>
  <c r="J990" i="21"/>
  <c r="I990" i="21"/>
  <c r="H990" i="21"/>
  <c r="F990" i="21"/>
  <c r="E990" i="21"/>
  <c r="L950" i="21"/>
  <c r="K950" i="21"/>
  <c r="J950" i="21"/>
  <c r="I950" i="21"/>
  <c r="H950" i="21"/>
  <c r="F950" i="21"/>
  <c r="E950" i="21"/>
  <c r="L946" i="21"/>
  <c r="K946" i="21"/>
  <c r="J946" i="21"/>
  <c r="I946" i="21"/>
  <c r="H946" i="21"/>
  <c r="F946" i="21"/>
  <c r="E946" i="21"/>
  <c r="L942" i="21"/>
  <c r="K942" i="21"/>
  <c r="J942" i="21"/>
  <c r="I942" i="21"/>
  <c r="H942" i="21"/>
  <c r="F942" i="21"/>
  <c r="E942" i="21"/>
  <c r="L938" i="21"/>
  <c r="K938" i="21"/>
  <c r="J938" i="21"/>
  <c r="I938" i="21"/>
  <c r="H938" i="21"/>
  <c r="F938" i="21"/>
  <c r="E938" i="21"/>
  <c r="L934" i="21"/>
  <c r="K934" i="21"/>
  <c r="J934" i="21"/>
  <c r="I934" i="21"/>
  <c r="H934" i="21"/>
  <c r="F934" i="21"/>
  <c r="E934" i="21"/>
  <c r="L929" i="21"/>
  <c r="K929" i="21"/>
  <c r="J929" i="21"/>
  <c r="I929" i="21"/>
  <c r="H929" i="21"/>
  <c r="F929" i="21"/>
  <c r="E929" i="21"/>
  <c r="L924" i="21"/>
  <c r="K924" i="21"/>
  <c r="J924" i="21"/>
  <c r="I924" i="21"/>
  <c r="H924" i="21"/>
  <c r="F924" i="21"/>
  <c r="E924" i="21"/>
  <c r="L919" i="21"/>
  <c r="K919" i="21"/>
  <c r="J919" i="21"/>
  <c r="I919" i="21"/>
  <c r="H919" i="21"/>
  <c r="F919" i="21"/>
  <c r="E919" i="21"/>
  <c r="L913" i="21"/>
  <c r="K913" i="21"/>
  <c r="J913" i="21"/>
  <c r="I913" i="21"/>
  <c r="H913" i="21"/>
  <c r="F913" i="21"/>
  <c r="E913" i="21"/>
  <c r="L906" i="21"/>
  <c r="K906" i="21"/>
  <c r="J906" i="21"/>
  <c r="I906" i="21"/>
  <c r="H906" i="21"/>
  <c r="F906" i="21"/>
  <c r="E906" i="21"/>
  <c r="L899" i="21"/>
  <c r="K899" i="21"/>
  <c r="J899" i="21"/>
  <c r="I899" i="21"/>
  <c r="H899" i="21"/>
  <c r="F899" i="21"/>
  <c r="E899" i="21"/>
  <c r="L888" i="21"/>
  <c r="K888" i="21"/>
  <c r="J888" i="21"/>
  <c r="I888" i="21"/>
  <c r="H888" i="21"/>
  <c r="F888" i="21"/>
  <c r="E888" i="21"/>
  <c r="L880" i="21"/>
  <c r="K880" i="21"/>
  <c r="J880" i="21"/>
  <c r="I880" i="21"/>
  <c r="H880" i="21"/>
  <c r="F880" i="21"/>
  <c r="E880" i="21"/>
  <c r="L871" i="21"/>
  <c r="K871" i="21"/>
  <c r="J871" i="21"/>
  <c r="I871" i="21"/>
  <c r="H871" i="21"/>
  <c r="F871" i="21"/>
  <c r="E871" i="21"/>
  <c r="L862" i="21"/>
  <c r="K862" i="21"/>
  <c r="J862" i="21"/>
  <c r="I862" i="21"/>
  <c r="H862" i="21"/>
  <c r="F862" i="21"/>
  <c r="E862" i="21"/>
  <c r="L848" i="21"/>
  <c r="K848" i="21"/>
  <c r="J848" i="21"/>
  <c r="I848" i="21"/>
  <c r="H848" i="21"/>
  <c r="F848" i="21"/>
  <c r="E848" i="21"/>
  <c r="L824" i="21"/>
  <c r="K824" i="21"/>
  <c r="J824" i="21"/>
  <c r="I824" i="21"/>
  <c r="H824" i="21"/>
  <c r="F824" i="21"/>
  <c r="E824" i="21"/>
  <c r="L790" i="21"/>
  <c r="K790" i="21"/>
  <c r="J790" i="21"/>
  <c r="I790" i="21"/>
  <c r="H790" i="21"/>
  <c r="F790" i="21"/>
  <c r="E790" i="21"/>
  <c r="L773" i="21"/>
  <c r="K773" i="21"/>
  <c r="J773" i="21"/>
  <c r="I773" i="21"/>
  <c r="H773" i="21"/>
  <c r="F773" i="21"/>
  <c r="E773" i="21"/>
  <c r="L754" i="21"/>
  <c r="K754" i="21"/>
  <c r="J754" i="21"/>
  <c r="I754" i="21"/>
  <c r="H754" i="21"/>
  <c r="F754" i="21"/>
  <c r="E754" i="21"/>
  <c r="L711" i="21"/>
  <c r="K711" i="21"/>
  <c r="J711" i="21"/>
  <c r="I711" i="21"/>
  <c r="H711" i="21"/>
  <c r="F711" i="21"/>
  <c r="E711" i="21"/>
  <c r="L662" i="21"/>
  <c r="K662" i="21"/>
  <c r="J662" i="21"/>
  <c r="I662" i="21"/>
  <c r="H662" i="21"/>
  <c r="F662" i="21"/>
  <c r="E662" i="21"/>
  <c r="L609" i="21"/>
  <c r="K609" i="21"/>
  <c r="J609" i="21"/>
  <c r="I609" i="21"/>
  <c r="H609" i="21"/>
  <c r="F609" i="21"/>
  <c r="E609" i="21"/>
  <c r="L557" i="21"/>
  <c r="K557" i="21"/>
  <c r="J557" i="21"/>
  <c r="I557" i="21"/>
  <c r="H557" i="21"/>
  <c r="F557" i="21"/>
  <c r="E557" i="21"/>
  <c r="L507" i="21"/>
  <c r="K507" i="21"/>
  <c r="J507" i="21"/>
  <c r="I507" i="21"/>
  <c r="H507" i="21"/>
  <c r="F507" i="21"/>
  <c r="E507" i="21"/>
  <c r="L460" i="21"/>
  <c r="K460" i="21"/>
  <c r="J460" i="21"/>
  <c r="I460" i="21"/>
  <c r="H460" i="21"/>
  <c r="F460" i="21"/>
  <c r="E460" i="21"/>
  <c r="L408" i="21"/>
  <c r="K408" i="21"/>
  <c r="J408" i="21"/>
  <c r="I408" i="21"/>
  <c r="H408" i="21"/>
  <c r="F408" i="21"/>
  <c r="E408" i="21"/>
  <c r="L361" i="21"/>
  <c r="K361" i="21"/>
  <c r="J361" i="21"/>
  <c r="I361" i="21"/>
  <c r="H361" i="21"/>
  <c r="F361" i="21"/>
  <c r="E361" i="21"/>
  <c r="L314" i="21"/>
  <c r="K314" i="21"/>
  <c r="J314" i="21"/>
  <c r="I314" i="21"/>
  <c r="H314" i="21"/>
  <c r="F314" i="21"/>
  <c r="E314" i="21"/>
  <c r="L269" i="21"/>
  <c r="K269" i="21"/>
  <c r="J269" i="21"/>
  <c r="I269" i="21"/>
  <c r="H269" i="21"/>
  <c r="F269" i="21"/>
  <c r="E269" i="21"/>
  <c r="L226" i="21"/>
  <c r="K226" i="21"/>
  <c r="J226" i="21"/>
  <c r="I226" i="21"/>
  <c r="H226" i="21"/>
  <c r="F226" i="21"/>
  <c r="E226" i="21"/>
  <c r="L190" i="21"/>
  <c r="K190" i="21"/>
  <c r="J190" i="21"/>
  <c r="I190" i="21"/>
  <c r="H190" i="21"/>
  <c r="F190" i="21"/>
  <c r="E190" i="21"/>
  <c r="L155" i="21"/>
  <c r="K155" i="21"/>
  <c r="J155" i="21"/>
  <c r="I155" i="21"/>
  <c r="H155" i="21"/>
  <c r="F155" i="21"/>
  <c r="E155" i="21"/>
  <c r="L119" i="21"/>
  <c r="K119" i="21"/>
  <c r="J119" i="21"/>
  <c r="I119" i="21"/>
  <c r="H119" i="21"/>
  <c r="F119" i="21"/>
  <c r="E119" i="21"/>
  <c r="L84" i="21"/>
  <c r="K84" i="21"/>
  <c r="J84" i="21"/>
  <c r="I84" i="21"/>
  <c r="H84" i="21"/>
  <c r="F84" i="21"/>
  <c r="E84" i="21"/>
  <c r="L55" i="21"/>
  <c r="K55" i="21"/>
  <c r="J55" i="21"/>
  <c r="I55" i="21"/>
  <c r="H55" i="21"/>
  <c r="F55" i="21"/>
  <c r="E55" i="21"/>
  <c r="L29" i="21"/>
  <c r="K29" i="21"/>
  <c r="J29" i="21"/>
  <c r="I29" i="21"/>
  <c r="H29" i="21"/>
  <c r="F29" i="21"/>
  <c r="E29" i="21"/>
  <c r="L313" i="20" l="1"/>
  <c r="K313" i="20"/>
  <c r="J313" i="20"/>
  <c r="I313" i="20"/>
  <c r="H313" i="20"/>
  <c r="F313" i="20"/>
  <c r="E313" i="20"/>
  <c r="L280" i="20"/>
  <c r="K280" i="20"/>
  <c r="J280" i="20"/>
  <c r="I280" i="20"/>
  <c r="H280" i="20"/>
  <c r="F280" i="20"/>
  <c r="E280" i="20"/>
  <c r="L274" i="20"/>
  <c r="K274" i="20"/>
  <c r="J274" i="20"/>
  <c r="I274" i="20"/>
  <c r="H274" i="20"/>
  <c r="F274" i="20"/>
  <c r="E274" i="20"/>
  <c r="L269" i="20"/>
  <c r="K269" i="20"/>
  <c r="J269" i="20"/>
  <c r="I269" i="20"/>
  <c r="H269" i="20"/>
  <c r="F269" i="20"/>
  <c r="E269" i="20"/>
  <c r="L265" i="20"/>
  <c r="K265" i="20"/>
  <c r="J265" i="20"/>
  <c r="I265" i="20"/>
  <c r="H265" i="20"/>
  <c r="F265" i="20"/>
  <c r="E265" i="20"/>
  <c r="L260" i="20"/>
  <c r="K260" i="20"/>
  <c r="J260" i="20"/>
  <c r="I260" i="20"/>
  <c r="H260" i="20"/>
  <c r="F260" i="20"/>
  <c r="E260" i="20"/>
  <c r="L256" i="20"/>
  <c r="K256" i="20"/>
  <c r="J256" i="20"/>
  <c r="I256" i="20"/>
  <c r="H256" i="20"/>
  <c r="F256" i="20"/>
  <c r="E256" i="20"/>
  <c r="L251" i="20"/>
  <c r="K251" i="20"/>
  <c r="J251" i="20"/>
  <c r="I251" i="20"/>
  <c r="H251" i="20"/>
  <c r="F251" i="20"/>
  <c r="E251" i="20"/>
  <c r="L245" i="20"/>
  <c r="K245" i="20"/>
  <c r="J245" i="20"/>
  <c r="I245" i="20"/>
  <c r="H245" i="20"/>
  <c r="F245" i="20"/>
  <c r="E245" i="20"/>
  <c r="L238" i="20"/>
  <c r="K238" i="20"/>
  <c r="J238" i="20"/>
  <c r="I238" i="20"/>
  <c r="H238" i="20"/>
  <c r="F238" i="20"/>
  <c r="E238" i="20"/>
  <c r="L234" i="20"/>
  <c r="K234" i="20"/>
  <c r="J234" i="20"/>
  <c r="I234" i="20"/>
  <c r="H234" i="20"/>
  <c r="F234" i="20"/>
  <c r="E234" i="20"/>
  <c r="L227" i="20"/>
  <c r="K227" i="20"/>
  <c r="J227" i="20"/>
  <c r="I227" i="20"/>
  <c r="H227" i="20"/>
  <c r="F227" i="20"/>
  <c r="E227" i="20"/>
  <c r="L221" i="20"/>
  <c r="K221" i="20"/>
  <c r="J221" i="20"/>
  <c r="I221" i="20"/>
  <c r="H221" i="20"/>
  <c r="F221" i="20"/>
  <c r="E221" i="20"/>
  <c r="L215" i="20"/>
  <c r="K215" i="20"/>
  <c r="J215" i="20"/>
  <c r="I215" i="20"/>
  <c r="H215" i="20"/>
  <c r="F215" i="20"/>
  <c r="E215" i="20"/>
  <c r="L205" i="20"/>
  <c r="K205" i="20"/>
  <c r="J205" i="20"/>
  <c r="I205" i="20"/>
  <c r="H205" i="20"/>
  <c r="F205" i="20"/>
  <c r="E205" i="20"/>
  <c r="L194" i="20"/>
  <c r="K194" i="20"/>
  <c r="J194" i="20"/>
  <c r="I194" i="20"/>
  <c r="H194" i="20"/>
  <c r="F194" i="20"/>
  <c r="E194" i="20"/>
  <c r="L179" i="20"/>
  <c r="K179" i="20"/>
  <c r="J179" i="20"/>
  <c r="I179" i="20"/>
  <c r="H179" i="20"/>
  <c r="F179" i="20"/>
  <c r="E179" i="20"/>
  <c r="L149" i="20"/>
  <c r="K149" i="20"/>
  <c r="J149" i="20"/>
  <c r="I149" i="20"/>
  <c r="H149" i="20"/>
  <c r="F149" i="20"/>
  <c r="E149" i="20"/>
  <c r="L122" i="20"/>
  <c r="K122" i="20"/>
  <c r="J122" i="20"/>
  <c r="I122" i="20"/>
  <c r="H122" i="20"/>
  <c r="F122" i="20"/>
  <c r="E122" i="20"/>
  <c r="L93" i="20"/>
  <c r="K93" i="20"/>
  <c r="J93" i="20"/>
  <c r="I93" i="20"/>
  <c r="H93" i="20"/>
  <c r="F93" i="20"/>
  <c r="E93" i="20"/>
  <c r="L81" i="20"/>
  <c r="K81" i="20"/>
  <c r="J81" i="20"/>
  <c r="I81" i="20"/>
  <c r="H81" i="20"/>
  <c r="F81" i="20"/>
  <c r="E81" i="20"/>
  <c r="L75" i="20"/>
  <c r="K75" i="20"/>
  <c r="J75" i="20"/>
  <c r="I75" i="20"/>
  <c r="H75" i="20"/>
  <c r="F75" i="20"/>
  <c r="E75" i="20"/>
  <c r="L71" i="20"/>
  <c r="K71" i="20"/>
  <c r="J71" i="20"/>
  <c r="I71" i="20"/>
  <c r="H71" i="20"/>
  <c r="F71" i="20"/>
  <c r="E71" i="20"/>
  <c r="L66" i="20"/>
  <c r="K66" i="20"/>
  <c r="J66" i="20"/>
  <c r="I66" i="20"/>
  <c r="H66" i="20"/>
  <c r="F66" i="20"/>
  <c r="E66" i="20"/>
  <c r="L62" i="20"/>
  <c r="K62" i="20"/>
  <c r="J62" i="20"/>
  <c r="I62" i="20"/>
  <c r="H62" i="20"/>
  <c r="F62" i="20"/>
  <c r="E62" i="20"/>
  <c r="L57" i="20"/>
  <c r="K57" i="20"/>
  <c r="J57" i="20"/>
  <c r="I57" i="20"/>
  <c r="H57" i="20"/>
  <c r="F57" i="20"/>
  <c r="E57" i="20"/>
  <c r="L52" i="20"/>
  <c r="K52" i="20"/>
  <c r="J52" i="20"/>
  <c r="I52" i="20"/>
  <c r="H52" i="20"/>
  <c r="F52" i="20"/>
  <c r="E52" i="20"/>
  <c r="L46" i="20"/>
  <c r="K46" i="20"/>
  <c r="J46" i="20"/>
  <c r="I46" i="20"/>
  <c r="H46" i="20"/>
  <c r="F46" i="20"/>
  <c r="E46" i="20"/>
  <c r="J40" i="20"/>
  <c r="I40" i="20"/>
  <c r="F40" i="20"/>
  <c r="E40" i="20"/>
  <c r="L8" i="20"/>
  <c r="K8" i="20"/>
  <c r="J8" i="20"/>
  <c r="I8" i="20"/>
  <c r="H8" i="20"/>
  <c r="G8" i="20"/>
  <c r="F8" i="20"/>
  <c r="E8" i="20"/>
  <c r="K40" i="20" l="1"/>
  <c r="H40" i="20"/>
  <c r="L40" i="20"/>
  <c r="I4" i="19"/>
  <c r="O32" i="18"/>
  <c r="M32" i="18"/>
  <c r="L32" i="18"/>
  <c r="J32" i="18"/>
  <c r="H32" i="18"/>
  <c r="F32" i="18"/>
  <c r="E32" i="18"/>
  <c r="O26" i="18"/>
  <c r="M26" i="18"/>
  <c r="L26" i="18"/>
  <c r="J26" i="18"/>
  <c r="H26" i="18"/>
  <c r="F26" i="18"/>
  <c r="E26" i="18"/>
  <c r="O22" i="18"/>
  <c r="M22" i="18"/>
  <c r="L22" i="18"/>
  <c r="J22" i="18"/>
  <c r="H22" i="18"/>
  <c r="F22" i="18"/>
  <c r="E22" i="18"/>
  <c r="O17" i="18"/>
  <c r="M17" i="18"/>
  <c r="L17" i="18"/>
  <c r="J17" i="18"/>
  <c r="H17" i="18"/>
  <c r="F17" i="18"/>
  <c r="E17" i="18"/>
  <c r="O11" i="18"/>
  <c r="M11" i="18"/>
  <c r="L11" i="18"/>
  <c r="J11" i="18"/>
  <c r="H11" i="18"/>
  <c r="F11" i="18"/>
  <c r="E11" i="18"/>
  <c r="O5" i="18"/>
  <c r="M5" i="18"/>
  <c r="L5" i="18"/>
  <c r="J5" i="18"/>
  <c r="H5" i="18"/>
  <c r="F5" i="18"/>
  <c r="E5" i="18"/>
  <c r="G27" i="15" l="1"/>
  <c r="G36" i="14"/>
  <c r="F9" i="13" l="1"/>
  <c r="N45" i="13" l="1"/>
  <c r="L45" i="13"/>
  <c r="K45" i="13"/>
  <c r="I45" i="13"/>
  <c r="G45" i="13"/>
  <c r="F45" i="13"/>
  <c r="O45" i="13"/>
  <c r="N37" i="13"/>
  <c r="L37" i="13"/>
  <c r="K37" i="13"/>
  <c r="I37" i="13"/>
  <c r="G37" i="13"/>
  <c r="F37" i="13"/>
  <c r="O37" i="13"/>
  <c r="N30" i="13"/>
  <c r="L30" i="13"/>
  <c r="K30" i="13"/>
  <c r="I30" i="13"/>
  <c r="G30" i="13"/>
  <c r="F30" i="13"/>
  <c r="O30" i="13"/>
  <c r="N23" i="13"/>
  <c r="L23" i="13"/>
  <c r="K23" i="13"/>
  <c r="I23" i="13"/>
  <c r="G23" i="13"/>
  <c r="F23" i="13"/>
  <c r="O23" i="13"/>
  <c r="N16" i="13"/>
  <c r="L16" i="13"/>
  <c r="K16" i="13"/>
  <c r="I16" i="13"/>
  <c r="G16" i="13"/>
  <c r="F16" i="13"/>
  <c r="O16" i="13"/>
  <c r="N9" i="13"/>
  <c r="L9" i="13"/>
  <c r="K9" i="13"/>
  <c r="I9" i="13"/>
  <c r="G9" i="13"/>
  <c r="O9" i="13"/>
  <c r="H32" i="15" l="1"/>
  <c r="G32" i="15"/>
  <c r="I32" i="15"/>
  <c r="H27" i="15"/>
  <c r="I27" i="15"/>
  <c r="H90" i="14"/>
  <c r="G90" i="14"/>
  <c r="I90" i="14"/>
  <c r="H81" i="14"/>
  <c r="G81" i="14"/>
  <c r="H74" i="14" l="1"/>
  <c r="G74" i="14"/>
  <c r="H62" i="14"/>
  <c r="G62" i="14"/>
  <c r="I62" i="14"/>
  <c r="H36" i="14"/>
  <c r="I36" i="14"/>
  <c r="I81" i="14" l="1"/>
  <c r="I74" i="14" l="1"/>
</calcChain>
</file>

<file path=xl/comments1.xml><?xml version="1.0" encoding="utf-8"?>
<comments xmlns="http://schemas.openxmlformats.org/spreadsheetml/2006/main">
  <authors>
    <author>Waty, Linda</author>
    <author>Apgar, Lili</author>
  </authors>
  <commentList>
    <comment ref="G2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I6" authorId="1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I7" authorId="1" shapeId="0">
      <text>
        <r>
          <rPr>
            <sz val="9"/>
            <color indexed="81"/>
            <rFont val="Tahoma"/>
            <family val="2"/>
          </rPr>
          <t>Footnote 3.</t>
        </r>
      </text>
    </comment>
  </commentList>
</comments>
</file>

<file path=xl/comments2.xml><?xml version="1.0" encoding="utf-8"?>
<comments xmlns="http://schemas.openxmlformats.org/spreadsheetml/2006/main">
  <authors>
    <author>Joseph, Angelo</author>
  </authors>
  <commentList>
    <comment ref="A32" authorId="0" shapeId="0">
      <text>
        <r>
          <rPr>
            <sz val="9"/>
            <color indexed="81"/>
            <rFont val="Tahoma"/>
            <family val="2"/>
          </rPr>
          <t>Footnote 4.</t>
        </r>
      </text>
    </comment>
  </commentList>
</comments>
</file>

<file path=xl/comments3.xml><?xml version="1.0" encoding="utf-8"?>
<comments xmlns="http://schemas.openxmlformats.org/spreadsheetml/2006/main">
  <authors>
    <author>Waty, Linda</author>
    <author>Joseph, Angelo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Footnote 3.</t>
        </r>
      </text>
    </comment>
    <comment ref="J2" authorId="0" shapeId="0">
      <text>
        <r>
          <rPr>
            <sz val="9"/>
            <color indexed="81"/>
            <rFont val="Tahoma"/>
            <family val="2"/>
          </rPr>
          <t>Footnote 4.</t>
        </r>
      </text>
    </comment>
    <comment ref="M2" authorId="0" shapeId="0">
      <text>
        <r>
          <rPr>
            <sz val="9"/>
            <color indexed="81"/>
            <rFont val="Tahoma"/>
            <family val="2"/>
          </rPr>
          <t>Footnote 5.</t>
        </r>
      </text>
    </comment>
    <comment ref="O2" authorId="0" shapeId="0">
      <text>
        <r>
          <rPr>
            <sz val="9"/>
            <color indexed="81"/>
            <rFont val="Tahoma"/>
            <family val="2"/>
          </rPr>
          <t>Footnote 6.</t>
        </r>
      </text>
    </comment>
    <comment ref="F4" authorId="1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F9" authorId="1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F10" authorId="1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A17" authorId="0" shapeId="0">
      <text>
        <r>
          <rPr>
            <sz val="9"/>
            <color indexed="81"/>
            <rFont val="Tahoma"/>
            <family val="2"/>
          </rPr>
          <t>Footnote 7.</t>
        </r>
      </text>
    </comment>
    <comment ref="A26" authorId="0" shapeId="0">
      <text>
        <r>
          <rPr>
            <sz val="9"/>
            <color indexed="81"/>
            <rFont val="Tahoma"/>
            <family val="2"/>
          </rPr>
          <t>Footnotes 7 and 8.</t>
        </r>
      </text>
    </comment>
  </commentList>
</comments>
</file>

<file path=xl/comments4.xml><?xml version="1.0" encoding="utf-8"?>
<comments xmlns="http://schemas.openxmlformats.org/spreadsheetml/2006/main">
  <authors>
    <author>Waty, Linda</author>
    <author>Apgar, Lili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F10" authorId="1" shapeId="0">
      <text>
        <r>
          <rPr>
            <sz val="9"/>
            <color indexed="81"/>
            <rFont val="Tahoma"/>
            <family val="2"/>
          </rPr>
          <t>Footnote 1.</t>
        </r>
      </text>
    </comment>
  </commentList>
</comments>
</file>

<file path=xl/comments5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F31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</commentList>
</comments>
</file>

<file path=xl/comments6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</commentList>
</comments>
</file>

<file path=xl/comments7.xml><?xml version="1.0" encoding="utf-8"?>
<comments xmlns="http://schemas.openxmlformats.org/spreadsheetml/2006/main">
  <authors>
    <author>Joseph, Angelo</author>
  </authors>
  <commentList>
    <comment ref="A228" authorId="0" shapeId="0">
      <text>
        <r>
          <rPr>
            <sz val="9"/>
            <color indexed="81"/>
            <rFont val="Tahoma"/>
            <family val="2"/>
          </rPr>
          <t>Footnote 8.</t>
        </r>
      </text>
    </comment>
  </commentList>
</comments>
</file>

<file path=xl/sharedStrings.xml><?xml version="1.0" encoding="utf-8"?>
<sst xmlns="http://schemas.openxmlformats.org/spreadsheetml/2006/main" count="8777" uniqueCount="657">
  <si>
    <t>Legal
Reference
(Ch./Year)</t>
  </si>
  <si>
    <t>Local Agencies</t>
  </si>
  <si>
    <t>2018-19</t>
  </si>
  <si>
    <t>2017-18</t>
  </si>
  <si>
    <t>School Districts</t>
  </si>
  <si>
    <t>Fiscal
Year</t>
  </si>
  <si>
    <t>Program
Name</t>
  </si>
  <si>
    <t>Ch. 818/91</t>
  </si>
  <si>
    <t>Ch. 448/75</t>
  </si>
  <si>
    <t>Ch. 489/13</t>
  </si>
  <si>
    <t>Ch. 98/94</t>
  </si>
  <si>
    <t>Ch. 1253/75</t>
  </si>
  <si>
    <t>Ch. 917/87</t>
  </si>
  <si>
    <t>Ch. 961/75</t>
  </si>
  <si>
    <t>Ch. 736/97</t>
  </si>
  <si>
    <t>Ch. 588/97</t>
  </si>
  <si>
    <t>Ch. 36/77</t>
  </si>
  <si>
    <t>Ch. 498/83</t>
  </si>
  <si>
    <t>Ch. 1184/75</t>
  </si>
  <si>
    <t>Ch. 325/78</t>
  </si>
  <si>
    <t>Ch. 434/10</t>
  </si>
  <si>
    <t>Ch. 1176/77</t>
  </si>
  <si>
    <t>Ch. 161/93</t>
  </si>
  <si>
    <t>Ch. 249/86</t>
  </si>
  <si>
    <t>Ch. 1400/90</t>
  </si>
  <si>
    <t>Ch. 100/81</t>
  </si>
  <si>
    <t>Ch. 1463/89</t>
  </si>
  <si>
    <t>Ch. 797/14</t>
  </si>
  <si>
    <t>Ch. 900/04</t>
  </si>
  <si>
    <t>Total School Districts</t>
  </si>
  <si>
    <t>Ch. 697/92</t>
  </si>
  <si>
    <t>Ch. 1022/99</t>
  </si>
  <si>
    <t>Ch. 246/95</t>
  </si>
  <si>
    <t>Ch. 698/98</t>
  </si>
  <si>
    <t>Ch. 314/12</t>
  </si>
  <si>
    <t>Ch. 700/05</t>
  </si>
  <si>
    <t>Ch. 102/81</t>
  </si>
  <si>
    <t>Ch. 657/06</t>
  </si>
  <si>
    <t>Ch. 630/78</t>
  </si>
  <si>
    <t>Ch. 999/91</t>
  </si>
  <si>
    <t>Ch. 336/06</t>
  </si>
  <si>
    <t>Ch. 762/95</t>
  </si>
  <si>
    <t>Ch. 721/15</t>
  </si>
  <si>
    <t>Ch. 921/87</t>
  </si>
  <si>
    <t>Ch. 1460/89</t>
  </si>
  <si>
    <t>Ch. 1200/89</t>
  </si>
  <si>
    <t>2019-20</t>
  </si>
  <si>
    <t>Ch. 469/15</t>
  </si>
  <si>
    <t>2016-17</t>
  </si>
  <si>
    <t>Peace Officer Training: Mental Health/Crisis Intervention</t>
  </si>
  <si>
    <t>Allocation of Property Tax Revenues</t>
  </si>
  <si>
    <t>Crime Victims' Domestic Violence Incident Reports</t>
  </si>
  <si>
    <t>Domestic Violence Arrest Policies and Standards</t>
  </si>
  <si>
    <t>Domestic Violence Arrests and Victim Assistance</t>
  </si>
  <si>
    <t>Local Agency Employee Organizations: Impasse Procedures II</t>
  </si>
  <si>
    <t>Local Agency Ethics</t>
  </si>
  <si>
    <t>Medi-Cal Beneficiary Probate</t>
  </si>
  <si>
    <t>Medi-Cal Eligibility of Juvenile Offenders</t>
  </si>
  <si>
    <t>Peace Officers Personnel Records: Unfounded Complaints and Discovery</t>
  </si>
  <si>
    <t>Rape Victims Counseling Center Notice</t>
  </si>
  <si>
    <t>State Authorized Risk Assessment Tool for Sex Offenders</t>
  </si>
  <si>
    <t>Sexually Violent Predators</t>
  </si>
  <si>
    <t>U Visa 918 Form, Victims of Crime: Nonimmigrant Status</t>
  </si>
  <si>
    <t>Countywide Tax Rates</t>
  </si>
  <si>
    <t>Administrative License Suspension</t>
  </si>
  <si>
    <t>Pesticide Use Reports</t>
  </si>
  <si>
    <t>AIDS Instruction and AIDS Prevention Instruction</t>
  </si>
  <si>
    <t>Consolidation of Annual Parent Notification/Schoolsite Discipline Rules/Alternative Schools</t>
  </si>
  <si>
    <t>California Assessment of Student Performance and Progress (CAASPP)</t>
  </si>
  <si>
    <t>Caregiver Affidavits to Establish Residence for School Attendance</t>
  </si>
  <si>
    <t>Consolidated Suspensions, Expulsions, and Expulsion Appeals</t>
  </si>
  <si>
    <t>County Office of Education Fiscal Accountability Reporting</t>
  </si>
  <si>
    <t>Collective Bargaining and Collective Bargaining Agreement Disclosure</t>
  </si>
  <si>
    <t>Comprehensive School Safety Plans I and II</t>
  </si>
  <si>
    <t>Criminal Background Checks I</t>
  </si>
  <si>
    <t>Financial and Compliance Audits</t>
  </si>
  <si>
    <t>Graduation Requirements (On or after 1/1/2005)</t>
  </si>
  <si>
    <t>Habitual Truants</t>
  </si>
  <si>
    <t>Immunization Records – Mumps, Rubella, and Hepatitis B</t>
  </si>
  <si>
    <t>Immunization Records – Pertussis</t>
  </si>
  <si>
    <t>Immunization Records</t>
  </si>
  <si>
    <t>Intradistrict Attendance</t>
  </si>
  <si>
    <t>Consolidation of Law Enforcement Agency Notifications (LEAN) and Missing Children Reports (MCR)</t>
  </si>
  <si>
    <t>Notification of Truancy</t>
  </si>
  <si>
    <t>Parental Involvement Programs</t>
  </si>
  <si>
    <t>School Accountability Report Cards</t>
  </si>
  <si>
    <t>School District Fiscal Accountability Reporting and Employee Benefits Disclosure</t>
  </si>
  <si>
    <t>The Stull Act</t>
  </si>
  <si>
    <t>Training for School Employee Mandated Reporters</t>
  </si>
  <si>
    <t>Williams Case Implementation I, II, and III</t>
  </si>
  <si>
    <t>Threats Against Peace Officers</t>
  </si>
  <si>
    <t>Ch. 1249/92</t>
  </si>
  <si>
    <t>Racial and Identity Profiling</t>
  </si>
  <si>
    <t>Ch. 466/15</t>
  </si>
  <si>
    <t>Vote by Mail Ballots: Prepaid Postage</t>
  </si>
  <si>
    <t>Ch. 120/18</t>
  </si>
  <si>
    <t>2020-21</t>
  </si>
  <si>
    <t>Sexual Assault Evidence Kits: Testing</t>
  </si>
  <si>
    <t>Ch. 588/19</t>
  </si>
  <si>
    <t>Appropriation
Number</t>
  </si>
  <si>
    <t>Fiscal Year of
Claims Paid</t>
  </si>
  <si>
    <t>Reversion Date</t>
  </si>
  <si>
    <t>Original
Appropriation
Amount</t>
  </si>
  <si>
    <t>Add: Receipts
and Recovered Amounts</t>
  </si>
  <si>
    <t>Less: Mandated Program Payments, Offsets,
and Interest
(see Schedule A1)</t>
  </si>
  <si>
    <t>Less: Appropriations for Reversion</t>
  </si>
  <si>
    <t>0001-8885-2022-295-98</t>
  </si>
  <si>
    <t>Ch. 43/22</t>
  </si>
  <si>
    <t>0001-8885-2021-295-98</t>
  </si>
  <si>
    <t>0001-8885-2020-295-98</t>
  </si>
  <si>
    <t>Ch. 6,7,40/20</t>
  </si>
  <si>
    <t>Ch. 23,55,80,363/19</t>
  </si>
  <si>
    <t>0044-8885-2022-295-98</t>
  </si>
  <si>
    <t>0044-8885-2021-295-98</t>
  </si>
  <si>
    <t>0044-8885-2020-295-98</t>
  </si>
  <si>
    <t>0106-8885-2022-295-98</t>
  </si>
  <si>
    <t>0106-8885-2021-295-98</t>
  </si>
  <si>
    <t>0106-8885-2020-295-98</t>
  </si>
  <si>
    <t>0001-6100-2022-295-98</t>
  </si>
  <si>
    <t>0001-6100-2021-295-98</t>
  </si>
  <si>
    <t>0001-6100-2020-295-98</t>
  </si>
  <si>
    <t>0001-6870-2022-295-98</t>
  </si>
  <si>
    <t>0001-6870-2021-295-98</t>
  </si>
  <si>
    <t>0001-6870-2020-295-98</t>
  </si>
  <si>
    <t>0001-6870-2019-295-98</t>
  </si>
  <si>
    <t>Program
Number</t>
  </si>
  <si>
    <t>Program Payments and Offsets</t>
  </si>
  <si>
    <t>Interest
Payments and Offsets</t>
  </si>
  <si>
    <t>Total
Payments</t>
  </si>
  <si>
    <t>Ch. 21,43,69,84,240/21</t>
  </si>
  <si>
    <t>Custody of Minors – Child Abduction and Recovery</t>
  </si>
  <si>
    <t>Domestic Violence Treatment Services – Authorization and Case Management</t>
  </si>
  <si>
    <t>Health Benefits for Survivors of Peace Officers and Firefighters</t>
  </si>
  <si>
    <t>Tuberculosis Control</t>
  </si>
  <si>
    <t>Ch. 1399/76</t>
  </si>
  <si>
    <t>Ch. 183/92</t>
  </si>
  <si>
    <t>Ch. 1120/96</t>
  </si>
  <si>
    <t>Ch. 676/93</t>
  </si>
  <si>
    <t>Budget
Adjustments</t>
  </si>
  <si>
    <t>Program 
Number</t>
  </si>
  <si>
    <t>N/A</t>
  </si>
  <si>
    <t>Please continue to next table.</t>
  </si>
  <si>
    <t>Comment1</t>
  </si>
  <si>
    <t>Local Agencies-Annual Claim</t>
  </si>
  <si>
    <t>Program Category
and Type of Payment</t>
  </si>
  <si>
    <t>Fiscal 
Year</t>
  </si>
  <si>
    <t>Appropriation 
Number</t>
  </si>
  <si>
    <t>Program 
Name</t>
  </si>
  <si>
    <t>Legal
 Reference 
(Ch./Year)</t>
  </si>
  <si>
    <t>Total 
Payments</t>
  </si>
  <si>
    <t>Local Agencies-Motor Vehicle</t>
  </si>
  <si>
    <t>Local Agencies-Pesticide</t>
  </si>
  <si>
    <t>Grand Total</t>
  </si>
  <si>
    <t>School District-Annual Claim</t>
  </si>
  <si>
    <t>Program 
Payments and Offsets</t>
  </si>
  <si>
    <t>Comment: All community college districts participate in the block grant program. Therefore, no payments are made to community college districts.</t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</si>
  <si>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B31.)</t>
    </r>
  </si>
  <si>
    <t>Program Category
 and Fund</t>
  </si>
  <si>
    <r>
      <t>Appropriation Balances</t>
    </r>
    <r>
      <rPr>
        <b/>
        <vertAlign val="superscript"/>
        <sz val="12"/>
        <rFont val="Arial"/>
        <family val="2"/>
      </rPr>
      <t xml:space="preserve">1 </t>
    </r>
  </si>
  <si>
    <t>Local Agencies-General Fund</t>
  </si>
  <si>
    <t>Total Local Agencies-General Fund</t>
  </si>
  <si>
    <t xml:space="preserve"> N/A </t>
  </si>
  <si>
    <t>Motor Vehicle Account-Non-General Fund</t>
  </si>
  <si>
    <t>Total Motor Vehicle Account-Non-General Fund</t>
  </si>
  <si>
    <t xml:space="preserve">  N/A  </t>
  </si>
  <si>
    <t>Pesticide Regulation-Non-General Fund</t>
  </si>
  <si>
    <t>Total Pesticide Regulation-Non-General Fund</t>
  </si>
  <si>
    <t xml:space="preserve">   N/A   </t>
  </si>
  <si>
    <t>School Districts-General Fund</t>
  </si>
  <si>
    <t>Total School Districts-General Fund</t>
  </si>
  <si>
    <t xml:space="preserve">    N/A    </t>
  </si>
  <si>
    <t>Community College Districts-General Fund</t>
  </si>
  <si>
    <t>Total Community College Districts-General Fund</t>
  </si>
  <si>
    <t xml:space="preserve">     N/A     </t>
  </si>
  <si>
    <t xml:space="preserve"> N/A   </t>
  </si>
  <si>
    <t>CONTENTS</t>
  </si>
  <si>
    <t>FOR LOCAL AGENCIES, SCHOOL DISTRICTS, AND COMMUNITY COLLEGE DISTRICTS</t>
  </si>
  <si>
    <t>SCHEDULE A:</t>
  </si>
  <si>
    <t>SUMMARY OF STATE-MANDATED PROGRAM APPROPRIATIONS, RECEIPTS, AND PAYMENTS</t>
  </si>
  <si>
    <r>
      <t>SCHEDULE A1:</t>
    </r>
    <r>
      <rPr>
        <sz val="14"/>
        <color theme="1"/>
        <rFont val="Arial"/>
        <family val="2"/>
      </rPr>
      <t xml:space="preserve"> </t>
    </r>
  </si>
  <si>
    <t>DETAIL OF STATE-MANDATED PROGRAM PAYMENTS BY FISCAL YEAR</t>
  </si>
  <si>
    <t>SCHEDULE B:</t>
  </si>
  <si>
    <t>SUMMARY OF FUNDED AND UNFUNDED STATE-MANDATED PROGRAMS</t>
  </si>
  <si>
    <t>SCHEDULE B1:</t>
  </si>
  <si>
    <t>DETAIL OF FUNDED STATE-MANDATED PROGRAMS BY FISCAL YEAR</t>
  </si>
  <si>
    <t>SCHEDULE B2:</t>
  </si>
  <si>
    <t>DETAIL OF UNFUNDED STATE-MANDATED PROGRAMS</t>
  </si>
  <si>
    <t>Filed with Commission on State Mandates</t>
  </si>
  <si>
    <t>SCHEDULE C:</t>
  </si>
  <si>
    <t>OUTSTANDING INCORRECT REDUCTION CLAIMS</t>
  </si>
  <si>
    <t xml:space="preserve"> State of California</t>
  </si>
  <si>
    <t>State-Mandated Program Cost Report</t>
  </si>
  <si>
    <t>(AB 3000)</t>
  </si>
  <si>
    <t>(Government Code section 17562(b)(1))</t>
  </si>
  <si>
    <t>Image on Office of the Controller, State of California Seal</t>
  </si>
  <si>
    <t>California State Controller’s Office</t>
  </si>
  <si>
    <t>As of August 31, 2023</t>
  </si>
  <si>
    <t>MALIA M. COHEN</t>
  </si>
  <si>
    <t>STATE-MANDATED PROGRAM COST REPORT</t>
  </si>
  <si>
    <t>OF PAYMENTS AND APPROPRIATIONS (AB 3000)</t>
  </si>
  <si>
    <t>For the Budget Acts of 2020-21, 2021-22, 2022-23, and 2023-24</t>
  </si>
  <si>
    <t>Page 1</t>
  </si>
  <si>
    <t>Page 2</t>
  </si>
  <si>
    <t>For 2021-22 and Prior Fiscal Years</t>
  </si>
  <si>
    <t>Page 6</t>
  </si>
  <si>
    <t>Page 7</t>
  </si>
  <si>
    <t>Page 35</t>
  </si>
  <si>
    <t>Page 39</t>
  </si>
  <si>
    <t>State Controller's Office
Schedule A: Summary of State-Mandated Program Appropriations, Receipts, and Payments 
As of August 31, 2023</t>
  </si>
  <si>
    <t>0001-8885-2023-295-98</t>
  </si>
  <si>
    <t>0001-8885-2023-296-98</t>
  </si>
  <si>
    <t>0001-8885-2021-29523-98</t>
  </si>
  <si>
    <t>Ch. 12/23</t>
  </si>
  <si>
    <t>2021-22 and prior</t>
  </si>
  <si>
    <t>2019-20 and prior</t>
  </si>
  <si>
    <t>0044-8885-2023-295-98</t>
  </si>
  <si>
    <t>0106-8885-2023-295-98</t>
  </si>
  <si>
    <t>2021-22</t>
  </si>
  <si>
    <t>Appropriation Balances
as of 8/31/2023</t>
  </si>
  <si>
    <t>0001-6100-2023-295-98</t>
  </si>
  <si>
    <t>N/A2</t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</si>
  <si>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As of 8/31/2022, except for the Budget Act of 2023 appropriations as of 7/1/2023.</t>
    </r>
  </si>
  <si>
    <r>
      <rPr>
        <vertAlign val="superscript"/>
        <sz val="12"/>
        <color theme="1"/>
        <rFont val="Arial"/>
        <family val="2"/>
      </rPr>
      <t xml:space="preserve">2 </t>
    </r>
    <r>
      <rPr>
        <sz val="12"/>
        <color theme="1"/>
        <rFont val="Arial"/>
        <family val="2"/>
      </rPr>
      <t>Re-appropriated by Chapter 12, Statutes of 2023. Item 8885-491. Encumbrance through 6/30/2024.</t>
    </r>
  </si>
  <si>
    <t>State Controller's Office
Schedule A1: Detail of State-Mandated Program Payments by Fiscal Year
As of August 31, 2023</t>
  </si>
  <si>
    <t>0001-8885-2023-295-98 Total</t>
  </si>
  <si>
    <t>Ch. 781/16</t>
  </si>
  <si>
    <t>County of Los Angeles Citizens Redistricting Commission</t>
  </si>
  <si>
    <t>0001-8885-2023-296-98 Total</t>
  </si>
  <si>
    <t>0044-8885-2023-295-98 Total</t>
  </si>
  <si>
    <t>0106-8885-2023-295-98 Total</t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</si>
  <si>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All community college districts participate in the block grant program. Therefore, no payments are made to community college districts.</t>
    </r>
  </si>
  <si>
    <t>State Controller's Office
Schedule B: Summary of Funded and Unfunded State-Mandated Programs
As of August 31, 2023</t>
  </si>
  <si>
    <t>Program
Category</t>
  </si>
  <si>
    <t>Schedules</t>
  </si>
  <si>
    <t>Program
Costs</t>
  </si>
  <si>
    <t>Less: Net Payments and Offsets</t>
  </si>
  <si>
    <t>Comment2</t>
  </si>
  <si>
    <r>
      <t>Accounts Payable
Balance</t>
    </r>
    <r>
      <rPr>
        <b/>
        <vertAlign val="superscript"/>
        <sz val="12"/>
        <color theme="1"/>
        <rFont val="Arial"/>
        <family val="2"/>
      </rPr>
      <t>3</t>
    </r>
  </si>
  <si>
    <t>Comment: Amount due to local agencies, school districts, and community college districts.</t>
  </si>
  <si>
    <r>
      <t>Established
Accounts
Receivable</t>
    </r>
    <r>
      <rPr>
        <b/>
        <vertAlign val="superscript"/>
        <sz val="12"/>
        <rFont val="Arial"/>
        <family val="2"/>
      </rPr>
      <t>4</t>
    </r>
  </si>
  <si>
    <t>Comment: Total accounts receivable established due to desk review and field audit claim adjustments.</t>
  </si>
  <si>
    <t>Less: Recovered
Amount</t>
  </si>
  <si>
    <r>
      <t>Accounts
Receivable
Balance</t>
    </r>
    <r>
      <rPr>
        <b/>
        <vertAlign val="superscript"/>
        <sz val="12"/>
        <rFont val="Arial"/>
        <family val="2"/>
      </rPr>
      <t>5</t>
    </r>
  </si>
  <si>
    <t>Comment: Amount due from local agencies, school districts (includes ineligible charter schools), and community college districts.</t>
  </si>
  <si>
    <r>
      <t>Net
Balance</t>
    </r>
    <r>
      <rPr>
        <b/>
        <vertAlign val="superscript"/>
        <sz val="12"/>
        <rFont val="Arial"/>
        <family val="2"/>
      </rPr>
      <t>6</t>
    </r>
  </si>
  <si>
    <t>Comment: Net amount of deficiencies and surpluses. (A/P Balance less A/R Balance equals Net Balance.)</t>
  </si>
  <si>
    <t>General Government</t>
  </si>
  <si>
    <t>Comment: Local agencies do not receive funding offsets.</t>
  </si>
  <si>
    <t>2021-22 and Prior</t>
  </si>
  <si>
    <t>B1-Funded</t>
  </si>
  <si>
    <t>Total Local Agencies</t>
  </si>
  <si>
    <t>Comment3</t>
  </si>
  <si>
    <r>
      <t>Established
Accounts
Receivable</t>
    </r>
    <r>
      <rPr>
        <b/>
        <vertAlign val="superscript"/>
        <sz val="12"/>
        <color theme="1"/>
        <rFont val="Arial"/>
        <family val="2"/>
      </rPr>
      <t>4</t>
    </r>
  </si>
  <si>
    <t>Comment4</t>
  </si>
  <si>
    <r>
      <t>Accounts
Receivable
Balance</t>
    </r>
    <r>
      <rPr>
        <b/>
        <vertAlign val="superscript"/>
        <sz val="12"/>
        <color theme="1"/>
        <rFont val="Arial"/>
        <family val="2"/>
      </rPr>
      <t>5</t>
    </r>
  </si>
  <si>
    <t>Comment5</t>
  </si>
  <si>
    <r>
      <t>Net
Balance</t>
    </r>
    <r>
      <rPr>
        <b/>
        <vertAlign val="superscript"/>
        <sz val="12"/>
        <color theme="1"/>
        <rFont val="Arial"/>
        <family val="2"/>
      </rPr>
      <t>6</t>
    </r>
  </si>
  <si>
    <t>Comment6</t>
  </si>
  <si>
    <t>Education</t>
  </si>
  <si>
    <t xml:space="preserve">Comment: This amount includes offsets applied from prior years. </t>
  </si>
  <si>
    <t xml:space="preserve">  </t>
  </si>
  <si>
    <t>Community College Districts</t>
  </si>
  <si>
    <t>2014-15 and Prior</t>
  </si>
  <si>
    <t>Total School Districts and Community College Districts</t>
  </si>
  <si>
    <r>
      <t>Total Schedule B1: Funded Mandates</t>
    </r>
    <r>
      <rPr>
        <b/>
        <vertAlign val="superscript"/>
        <sz val="12"/>
        <rFont val="Arial"/>
        <family val="2"/>
      </rPr>
      <t>7</t>
    </r>
  </si>
  <si>
    <t xml:space="preserve">Comment: State-mandated programs appropriated for payments in the Budget Act (funded) and programs without appropriations (unfunded). </t>
  </si>
  <si>
    <t>B2-Unfunded</t>
  </si>
  <si>
    <t xml:space="preserve"> </t>
  </si>
  <si>
    <r>
      <t>Total Schedule B2: Unfunded Mandates</t>
    </r>
    <r>
      <rPr>
        <b/>
        <vertAlign val="superscript"/>
        <sz val="12"/>
        <rFont val="Arial"/>
        <family val="2"/>
      </rPr>
      <t>7,8</t>
    </r>
  </si>
  <si>
    <t>Comments: State-mandated programs appropriated for payments in the Budget Act (funded) and programs without appropriations (unfunded). There are no unfunded school district and community college district state-mandated programs.</t>
  </si>
  <si>
    <t>Grand Total Local Agencies, School Districts, and Community College Districts</t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</si>
  <si>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G3, G8, I2, K2, N2, P2, B17, and B26.)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</si>
  <si>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Local agencies do not receive funding offsets.</t>
    </r>
  </si>
  <si>
    <r>
      <t xml:space="preserve">2 </t>
    </r>
    <r>
      <rPr>
        <sz val="12"/>
        <color theme="1"/>
        <rFont val="Arial"/>
        <family val="2"/>
      </rPr>
      <t xml:space="preserve">This amount includes offsets applied from prior years. 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</si>
  <si>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Amount due to local agencies, school districts, and community college districts.</t>
    </r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</si>
  <si>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Total accounts receivable established due to desk review and field audit claim adjustments.</t>
    </r>
  </si>
  <si>
    <r>
      <rPr>
        <vertAlign val="superscript"/>
        <sz val="12"/>
        <color theme="1"/>
        <rFont val="Arial"/>
        <family val="2"/>
      </rPr>
      <t>5</t>
    </r>
    <r>
      <rPr>
        <sz val="12"/>
        <color theme="1"/>
        <rFont val="Arial"/>
        <family val="2"/>
      </rPr>
      <t xml:space="preserve"> Amount due from local agencies, school districts (includes ineligible charter schools), and community college districts.</t>
    </r>
  </si>
  <si>
    <r>
      <rPr>
        <vertAlign val="superscript"/>
        <sz val="12"/>
        <color theme="1"/>
        <rFont val="Arial"/>
        <family val="2"/>
      </rPr>
      <t xml:space="preserve">6 </t>
    </r>
    <r>
      <rPr>
        <sz val="12"/>
        <color theme="1"/>
        <rFont val="Arial"/>
        <family val="2"/>
      </rPr>
      <t>Net amount of deficiencies and surpluses (A/P Balance less A/R Balance equals Net Balance).</t>
    </r>
  </si>
  <si>
    <r>
      <t xml:space="preserve">7 </t>
    </r>
    <r>
      <rPr>
        <sz val="12"/>
        <color theme="1"/>
        <rFont val="Arial"/>
        <family val="2"/>
      </rPr>
      <t xml:space="preserve">State-mandated programs appropriated for payments in the Budget Act (funded) and programs without appropriations (unfunded). </t>
    </r>
  </si>
  <si>
    <r>
      <t xml:space="preserve">8 </t>
    </r>
    <r>
      <rPr>
        <sz val="12"/>
        <color theme="1"/>
        <rFont val="Arial"/>
        <family val="2"/>
      </rPr>
      <t>There are no unfunded school district and community college district state-mandated programs.</t>
    </r>
  </si>
  <si>
    <t>Schedule C: Outstanding Incorrect Reduction Claims
Filed with the Commission on State Mandates
As of August 31, 2023</t>
  </si>
  <si>
    <t>Number</t>
  </si>
  <si>
    <t>Revised
(R)</t>
  </si>
  <si>
    <t>File
Number</t>
  </si>
  <si>
    <t>Filing
Date</t>
  </si>
  <si>
    <t>Date Comments Filed</t>
  </si>
  <si>
    <t>Record Closed</t>
  </si>
  <si>
    <t>Claimant</t>
  </si>
  <si>
    <t>Amount
of Claim</t>
  </si>
  <si>
    <t>Name</t>
  </si>
  <si>
    <t>Type</t>
  </si>
  <si>
    <t>Tentative Hearing Date</t>
  </si>
  <si>
    <t>22-1410-I-01</t>
  </si>
  <si>
    <t>(None)</t>
  </si>
  <si>
    <t>Yes</t>
  </si>
  <si>
    <t>Fresno Unified School District</t>
  </si>
  <si>
    <t>2015-2016, 2016-2017</t>
  </si>
  <si>
    <t>School District</t>
  </si>
  <si>
    <t>Total Outstanding Incorrect Reduction Claims Filed with the Commission on State Mandates</t>
  </si>
  <si>
    <t>of Payments and Appropriations</t>
  </si>
  <si>
    <t>Comment: Local Agencies do not receive funding offsets.</t>
  </si>
  <si>
    <t>Account
Payable 
Balance</t>
  </si>
  <si>
    <t>Established
Account 
Receivable</t>
  </si>
  <si>
    <t>Less: 
Recovered Amount</t>
  </si>
  <si>
    <t>Account  Receivable
Balance</t>
  </si>
  <si>
    <t>Net
Balance</t>
  </si>
  <si>
    <t>Peace Officers Procedural Bill of Rights</t>
  </si>
  <si>
    <t>Ch. 465/76</t>
  </si>
  <si>
    <t>2021-22 Total</t>
  </si>
  <si>
    <t>2020-21 Total</t>
  </si>
  <si>
    <r>
      <t>Less: Net Payments and Offsets</t>
    </r>
    <r>
      <rPr>
        <b/>
        <vertAlign val="superscript"/>
        <sz val="12"/>
        <color theme="1"/>
        <rFont val="Arial"/>
        <family val="2"/>
      </rPr>
      <t>1</t>
    </r>
  </si>
  <si>
    <t>2019-20 Total</t>
  </si>
  <si>
    <t>2018-19 Total</t>
  </si>
  <si>
    <t>2017-18 Total</t>
  </si>
  <si>
    <t>2016-17 Total</t>
  </si>
  <si>
    <t>2015-16</t>
  </si>
  <si>
    <t>2015-16 Total</t>
  </si>
  <si>
    <t>2014-15</t>
  </si>
  <si>
    <t>2014-15 Total</t>
  </si>
  <si>
    <t>2013-14</t>
  </si>
  <si>
    <t>2013-14 Total</t>
  </si>
  <si>
    <t>2012-13</t>
  </si>
  <si>
    <t>2012-13 Total</t>
  </si>
  <si>
    <t>2011-12</t>
  </si>
  <si>
    <t>Municipal Storm Water and Urban Runoff Discharges</t>
  </si>
  <si>
    <t>Title 2</t>
  </si>
  <si>
    <t>Open Meetings Act/Brown Act Reform</t>
  </si>
  <si>
    <t>Ch. 641/86</t>
  </si>
  <si>
    <t>2011-12 Total</t>
  </si>
  <si>
    <t>2010-11</t>
  </si>
  <si>
    <t>Absentee Ballots</t>
  </si>
  <si>
    <t>Ch. 77/78</t>
  </si>
  <si>
    <t>Absentee Ballots: Tabulation by Precinct</t>
  </si>
  <si>
    <t>Ch. 697/99</t>
  </si>
  <si>
    <t>California Public Records Act</t>
  </si>
  <si>
    <t>Ch. 463/92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</si>
  <si>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</si>
  <si>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</si>
  <si>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</si>
  <si>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</si>
  <si>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</si>
  <si>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</si>
  <si>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2010-11 Total</t>
  </si>
  <si>
    <t>2009-10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</si>
  <si>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</si>
  <si>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</si>
  <si>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</si>
  <si>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</si>
  <si>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</si>
  <si>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</si>
  <si>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</si>
  <si>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</si>
  <si>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Developmentally Disabled: Attorneys' Services</t>
  </si>
  <si>
    <t>Ch. 694/75</t>
  </si>
  <si>
    <t>Local Agency Formation Commissions (LAFCO)</t>
  </si>
  <si>
    <t>Ch. 761/00</t>
  </si>
  <si>
    <t>Mentally Disordered Offenders' Extended Commitment Proceedings</t>
  </si>
  <si>
    <t>Ch. 1418/85</t>
  </si>
  <si>
    <t>Mentally Disordered Sex Offenders: Extended Commitment Proceedings</t>
  </si>
  <si>
    <t>Ch. 1036/78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</si>
  <si>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</si>
  <si>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</si>
  <si>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</si>
  <si>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</si>
  <si>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</si>
  <si>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</si>
  <si>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</si>
  <si>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</si>
  <si>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</si>
  <si>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</si>
  <si>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</si>
  <si>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</si>
  <si>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</si>
  <si>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</si>
  <si>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</si>
  <si>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</si>
  <si>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Stolen Vehicle Notification</t>
  </si>
  <si>
    <t>Ch. 337/90</t>
  </si>
  <si>
    <t>2009-10 Total</t>
  </si>
  <si>
    <t>2008-09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</si>
  <si>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</si>
  <si>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</si>
  <si>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</si>
  <si>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</si>
  <si>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</si>
  <si>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</si>
  <si>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</si>
  <si>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</si>
  <si>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</si>
  <si>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</si>
  <si>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2008-09 Total</t>
  </si>
  <si>
    <t>2007-08</t>
  </si>
  <si>
    <t>Firefighters' Cancer Presumption</t>
  </si>
  <si>
    <t>Ch. 1568/82</t>
  </si>
  <si>
    <t>Peace Officers Cancer Presumption</t>
  </si>
  <si>
    <t>Ch. 1171/89</t>
  </si>
  <si>
    <t>2007-08 Total</t>
  </si>
  <si>
    <t>2006-07</t>
  </si>
  <si>
    <t>2006-07 Total</t>
  </si>
  <si>
    <t>2005-06</t>
  </si>
  <si>
    <t>2005-06 Total</t>
  </si>
  <si>
    <t>2004-05</t>
  </si>
  <si>
    <t>2004-05 Total</t>
  </si>
  <si>
    <t>2003-04</t>
  </si>
  <si>
    <t>2003-04 Total</t>
  </si>
  <si>
    <t>2002-03</t>
  </si>
  <si>
    <t>2002-03 Total</t>
  </si>
  <si>
    <t>2001-02</t>
  </si>
  <si>
    <t>Investment Reports</t>
  </si>
  <si>
    <t>Ch. 783/95</t>
  </si>
  <si>
    <t>2001-02 Total</t>
  </si>
  <si>
    <t>2000-01</t>
  </si>
  <si>
    <t>2000-01 Total</t>
  </si>
  <si>
    <t>1999-00</t>
  </si>
  <si>
    <t>SIDS Training for Firefighters</t>
  </si>
  <si>
    <t>Ch. 1111/89</t>
  </si>
  <si>
    <t>1999-00 Total</t>
  </si>
  <si>
    <t>1998-99</t>
  </si>
  <si>
    <t>Open Meetings Act</t>
  </si>
  <si>
    <t>Regional Housing Need Determination</t>
  </si>
  <si>
    <t>Ch. 1143/80</t>
  </si>
  <si>
    <t>1998-99 Total</t>
  </si>
  <si>
    <t>1997-98</t>
  </si>
  <si>
    <t>1997-98 Total</t>
  </si>
  <si>
    <t>1996-97</t>
  </si>
  <si>
    <t>1996-97 Total</t>
  </si>
  <si>
    <t>1995-96</t>
  </si>
  <si>
    <t>1995-96 Total</t>
  </si>
  <si>
    <t>1994-95</t>
  </si>
  <si>
    <t>1994-95 Total</t>
  </si>
  <si>
    <t>1992-93</t>
  </si>
  <si>
    <t>Personal Alarm Devices</t>
  </si>
  <si>
    <t>Title 8</t>
  </si>
  <si>
    <t>1992-93 Total</t>
  </si>
  <si>
    <t>1991-92</t>
  </si>
  <si>
    <t>Structural and Wildland Firefighter Safety Clothing and Equipment</t>
  </si>
  <si>
    <t xml:space="preserve">Title 8 </t>
  </si>
  <si>
    <t>1991-92 Total</t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</si>
  <si>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G2.)</t>
    </r>
  </si>
  <si>
    <r>
      <rPr>
        <vertAlign val="superscript"/>
        <sz val="12"/>
        <color theme="1"/>
        <rFont val="Arial"/>
        <family val="2"/>
      </rPr>
      <t xml:space="preserve">1 </t>
    </r>
    <r>
      <rPr>
        <sz val="12"/>
        <color theme="1"/>
        <rFont val="Arial"/>
        <family val="2"/>
      </rPr>
      <t>Local Agencies do not receive funding offsets.</t>
    </r>
  </si>
  <si>
    <t>State Controller's Office
Schedule B1: Detail of Funded State-Mandated Programs by Fiscal Year
As of August 31, 2023</t>
  </si>
  <si>
    <t>Program Number</t>
  </si>
  <si>
    <r>
      <t>Less: Net Payments and Offsets</t>
    </r>
    <r>
      <rPr>
        <b/>
        <vertAlign val="superscript"/>
        <sz val="12"/>
        <rFont val="Arial"/>
        <family val="2"/>
      </rPr>
      <t>2</t>
    </r>
  </si>
  <si>
    <t xml:space="preserve">Comment: This amount includes offsets applied from prior years.  </t>
  </si>
  <si>
    <t>Accounts Payable
Balance</t>
  </si>
  <si>
    <t>Established
Accounts Receivable</t>
  </si>
  <si>
    <t>Less: Recovered Amount</t>
  </si>
  <si>
    <t>Accounts Receivable
Balance</t>
  </si>
  <si>
    <t>Consolidation of Notification to Teachers: Pupils Subject to Suspension or Expulsion and Pupil Discipline Records, Notification to Teachers: Pupils Subject to Suspension or Expulsion II</t>
  </si>
  <si>
    <t>Ch. 1306/89</t>
  </si>
  <si>
    <t>Public School Restrooms: Feminine Hygiene Products</t>
  </si>
  <si>
    <t>Ch. 687/17</t>
  </si>
  <si>
    <r>
      <t>Less: Net Payments and Offsets</t>
    </r>
    <r>
      <rPr>
        <b/>
        <vertAlign val="superscript"/>
        <sz val="12"/>
        <color theme="1"/>
        <rFont val="Arial"/>
        <family val="2"/>
      </rPr>
      <t>2</t>
    </r>
  </si>
  <si>
    <t>Cal Grant: Opt-Out Notice and Grade Point Average Submission</t>
  </si>
  <si>
    <t>Ch. 679/14</t>
  </si>
  <si>
    <t>Criminal Background Checks II</t>
  </si>
  <si>
    <t>Ch. 594/98</t>
  </si>
  <si>
    <t>Juvenile Court Notices II</t>
  </si>
  <si>
    <t>Ch. 1423/84</t>
  </si>
  <si>
    <t>Physical Performance Tests</t>
  </si>
  <si>
    <t>Ch. 975/95</t>
  </si>
  <si>
    <t>Pupil Promotion and Retention</t>
  </si>
  <si>
    <t>Uniform Complaint Procedures (K-12)</t>
  </si>
  <si>
    <t>Ch. 1117/82</t>
  </si>
  <si>
    <t>Charter Schools I, II, and III</t>
  </si>
  <si>
    <t>Ch. 781/92</t>
  </si>
  <si>
    <t>Pupil Health Screenings (For Fiscal Year 2004-2005 and Subsequent Years)</t>
  </si>
  <si>
    <t>Ch. 1208/76</t>
  </si>
  <si>
    <t>Academic Performance Index</t>
  </si>
  <si>
    <t>Ch. 3/99</t>
  </si>
  <si>
    <t>Child Abuse and Neglect Reporting</t>
  </si>
  <si>
    <t>Ch. 640/87</t>
  </si>
  <si>
    <t>Expulsion of Pupils: Transcript Cost for Appeals</t>
  </si>
  <si>
    <t>High School Exit Examination</t>
  </si>
  <si>
    <t>Ch. 1/99</t>
  </si>
  <si>
    <t>Interdistrict Attendance Permits</t>
  </si>
  <si>
    <t>Ch. 172/86</t>
  </si>
  <si>
    <t>Pupil Safety Notices</t>
  </si>
  <si>
    <t>School District Reorganization</t>
  </si>
  <si>
    <t>Ch. 1192/80</t>
  </si>
  <si>
    <t>Student Records</t>
  </si>
  <si>
    <t>Ch. 593/89</t>
  </si>
  <si>
    <t>California Public Records Act (CPRA)</t>
  </si>
  <si>
    <t>California State Teachers' Retirement System (CalSTRS) Service Credit</t>
  </si>
  <si>
    <t>Ch. 603/94</t>
  </si>
  <si>
    <t>Charter Schools IV</t>
  </si>
  <si>
    <t>Ch. 1058/02</t>
  </si>
  <si>
    <t>Race to the Top</t>
  </si>
  <si>
    <t>Title 5</t>
  </si>
  <si>
    <t>Behavioral Intervention Plans (On or after 7/1/2012)</t>
  </si>
  <si>
    <t xml:space="preserve">Title 5 </t>
  </si>
  <si>
    <t>Immunization Records – Hepatitis B</t>
  </si>
  <si>
    <t>Mandate Reimbursement Process I and II</t>
  </si>
  <si>
    <t>Public Contracts (K-14)</t>
  </si>
  <si>
    <t>Ch. 1073/85</t>
  </si>
  <si>
    <t>Behavioral Intervention Plans (7/1/1993 to 6/30/2012)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</si>
  <si>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</si>
  <si>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</si>
  <si>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</si>
  <si>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</si>
  <si>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</si>
  <si>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Agency Fee Arrangements</t>
  </si>
  <si>
    <t>Ch. 893/00</t>
  </si>
  <si>
    <t>Developer Fees</t>
  </si>
  <si>
    <t>Ch. 955/77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</si>
  <si>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</si>
  <si>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</si>
  <si>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</si>
  <si>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</si>
  <si>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</si>
  <si>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</si>
  <si>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</si>
  <si>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</si>
  <si>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</si>
  <si>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</si>
  <si>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</si>
  <si>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</si>
  <si>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</si>
  <si>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</si>
  <si>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</si>
  <si>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</si>
  <si>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</si>
  <si>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</si>
  <si>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Differential Pay and Reemployment</t>
  </si>
  <si>
    <t>Ch. 30/98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</si>
  <si>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</si>
  <si>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</si>
  <si>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</si>
  <si>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</si>
  <si>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</si>
  <si>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</si>
  <si>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</si>
  <si>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</si>
  <si>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</si>
  <si>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</si>
  <si>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</si>
  <si>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Graduation Requirements (7/1/2004 to 12/31/2004)</t>
  </si>
  <si>
    <t>Pupil Exclusions</t>
  </si>
  <si>
    <t>Ch. 668/78</t>
  </si>
  <si>
    <t>Pupil Health Screenings (7/1/2003 and Prior)</t>
  </si>
  <si>
    <t>School District Fiscal Accountability Reporting</t>
  </si>
  <si>
    <t>Graduation Requirements (7/1/1995 to 6/30/2004)</t>
  </si>
  <si>
    <t>Standardized Testing and Reporting</t>
  </si>
  <si>
    <t>AIDS Prevention Instruction</t>
  </si>
  <si>
    <t>Charter Schools</t>
  </si>
  <si>
    <t>Emergency Procedures: Earthquakes and Disasters</t>
  </si>
  <si>
    <t>Open Meetings Act II</t>
  </si>
  <si>
    <t>School District of Choice: Transfers and Appeals</t>
  </si>
  <si>
    <t>Ch. 160/93</t>
  </si>
  <si>
    <t>Schoolsite Discipline Rules</t>
  </si>
  <si>
    <t>Ch. 87/86</t>
  </si>
  <si>
    <t>Pupil Expulsions II, Pupil Suspensions II, and Educational Services Plan (7/1/1999 to 6/30/2001)</t>
  </si>
  <si>
    <t>Ch. 332/99</t>
  </si>
  <si>
    <t>School Bus Safety I and II</t>
  </si>
  <si>
    <t>Ch. 624/92</t>
  </si>
  <si>
    <t>School Bus Safety</t>
  </si>
  <si>
    <t>Interdistrict Transfer Requests: Parent's Employment</t>
  </si>
  <si>
    <t>Credential Monitoring</t>
  </si>
  <si>
    <t>Ch. 1376/87</t>
  </si>
  <si>
    <t>School Testing – Physical Fitness</t>
  </si>
  <si>
    <t>Ch. 1675/84</t>
  </si>
  <si>
    <r>
      <t xml:space="preserve">Less: Net Payments and Offsets </t>
    </r>
    <r>
      <rPr>
        <b/>
        <vertAlign val="superscript"/>
        <sz val="12"/>
        <color theme="1"/>
        <rFont val="Arial"/>
        <family val="2"/>
      </rPr>
      <t>2</t>
    </r>
  </si>
  <si>
    <t>1993-94</t>
  </si>
  <si>
    <t>1993-94 Total</t>
  </si>
  <si>
    <t>Civic Center Act</t>
  </si>
  <si>
    <t>Ch. 49/84</t>
  </si>
  <si>
    <t>1990-91</t>
  </si>
  <si>
    <t>1990-91 Total</t>
  </si>
  <si>
    <t>1989-90</t>
  </si>
  <si>
    <t>1989-90 Total</t>
  </si>
  <si>
    <t>1988-89</t>
  </si>
  <si>
    <t>1988-89 Total</t>
  </si>
  <si>
    <t>1987-88</t>
  </si>
  <si>
    <t>1987-88 Total</t>
  </si>
  <si>
    <t>1986-87</t>
  </si>
  <si>
    <t>1986-87 Total</t>
  </si>
  <si>
    <t>1985-86</t>
  </si>
  <si>
    <t>1985-86 Total</t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</si>
  <si>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G2.)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</si>
  <si>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 </t>
    </r>
    <r>
      <rPr>
        <sz val="12"/>
        <color rgb="FFFF0000"/>
        <rFont val="Arial"/>
        <family val="2"/>
      </rPr>
      <t xml:space="preserve"> </t>
    </r>
  </si>
  <si>
    <t>Comment: This amount includes offsets applied from prior years.</t>
  </si>
  <si>
    <t>Enrollment Fee Collection and Waivers</t>
  </si>
  <si>
    <t>Minimum Conditions for State Aid</t>
  </si>
  <si>
    <t>Ch. 973/88</t>
  </si>
  <si>
    <t>Open Meetings/Brown Act Reform</t>
  </si>
  <si>
    <t>Community College Construction</t>
  </si>
  <si>
    <t>Ch. 910/80</t>
  </si>
  <si>
    <t>Health Fee Elimination (On or after 7/1/1994)</t>
  </si>
  <si>
    <t>Ch. 1/84</t>
  </si>
  <si>
    <t>Tuition Fee Waivers</t>
  </si>
  <si>
    <t>Integrated Waste Management</t>
  </si>
  <si>
    <t>Ch. 1116/92</t>
  </si>
  <si>
    <t>Cal Grants</t>
  </si>
  <si>
    <t>Ch. 403/00</t>
  </si>
  <si>
    <t>Total Community College Districts</t>
  </si>
  <si>
    <t>Total Funded Mandates</t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</si>
  <si>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</t>
    </r>
  </si>
  <si>
    <t>State Controller's Office
Schedule B2: Detail of Unfunded State-Mandated Programs
As of August 31, 2022</t>
  </si>
  <si>
    <t>California Fire Incident Reporting System (CFIRS)</t>
  </si>
  <si>
    <t>Ch. 345/87</t>
  </si>
  <si>
    <t>California Fire Incident Reporting System (CFIRS) Total</t>
  </si>
  <si>
    <t>Crime Statistics Reports for the Department of Justice</t>
  </si>
  <si>
    <t>Ch. 1172/89</t>
  </si>
  <si>
    <t>Crime Statistics Reports for the Department of Justice Total</t>
  </si>
  <si>
    <t>Crime Victims' Domestic Violence Incident Reports II</t>
  </si>
  <si>
    <t>Ch. 483/01</t>
  </si>
  <si>
    <t>Crime Victims' Domestic Violence Incident Reports II Total</t>
  </si>
  <si>
    <t>Domestic Violence Background Checks</t>
  </si>
  <si>
    <t>Ch. 713/01</t>
  </si>
  <si>
    <t>Domestic Violence Background Checks Total</t>
  </si>
  <si>
    <t xml:space="preserve">Firearm Hearings for Discharged Inpatients </t>
  </si>
  <si>
    <t>Ch. 578/99</t>
  </si>
  <si>
    <t>Firearm Hearings for Discharged Inpatients Total</t>
  </si>
  <si>
    <t>Identity Theft</t>
  </si>
  <si>
    <t>Ch. 956/00</t>
  </si>
  <si>
    <t>Identity Theft Total</t>
  </si>
  <si>
    <t>Interagency Child Abuse and Neglect Investigation Reports</t>
  </si>
  <si>
    <t>Ch. 958/77</t>
  </si>
  <si>
    <t>Interagency Child Abuse and Neglect Investigation Reports Total</t>
  </si>
  <si>
    <t>Local Elections: Consolidation</t>
  </si>
  <si>
    <t>Ch. 1013/81</t>
  </si>
  <si>
    <t>Local Elections: Consolidation Total</t>
  </si>
  <si>
    <t>Local Government Employee Relations</t>
  </si>
  <si>
    <t>Ch. 901/00</t>
  </si>
  <si>
    <t>Local Government Employee Relations Total</t>
  </si>
  <si>
    <t>Mentally Disordered Offenders: Treatment as a Condition of Parole</t>
  </si>
  <si>
    <t>Ch. 1419/85</t>
  </si>
  <si>
    <t>Mentally Disordered Offenders: Treatment as a Condition of Parole Total</t>
  </si>
  <si>
    <t>Modified Primary Election</t>
  </si>
  <si>
    <t>Ch. 898/00</t>
  </si>
  <si>
    <t>Modified Primary Election Total</t>
  </si>
  <si>
    <t>Peace Officers Procedural Bill of Rights II</t>
  </si>
  <si>
    <t>Peace Officers Procedural Bill of Rights II Total</t>
  </si>
  <si>
    <t>Permanent Absent Voters II</t>
  </si>
  <si>
    <t>Ch. 922/01</t>
  </si>
  <si>
    <t>Permanent Absent Voters II Total</t>
  </si>
  <si>
    <t>Sexually Violent Predators For the Period of 7/1/2011 Through 6/30/2018</t>
  </si>
  <si>
    <t>Sexually Violent Predators For the Period of 7/1/2011 Through 6/30/2018 Total</t>
  </si>
  <si>
    <t>Voter Identification Procedures</t>
  </si>
  <si>
    <t>Ch. 260/00</t>
  </si>
  <si>
    <t>Voter Identification Procedures Total</t>
  </si>
  <si>
    <t>Comment: There are no unfunded school district and community college district state-mandated programs.</t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</si>
  <si>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B240.)</t>
    </r>
  </si>
  <si>
    <r>
      <rPr>
        <vertAlign val="superscript"/>
        <sz val="12"/>
        <color theme="1"/>
        <rFont val="Arial"/>
        <family val="2"/>
      </rPr>
      <t>8</t>
    </r>
    <r>
      <rPr>
        <sz val="12"/>
        <color theme="1"/>
        <rFont val="Arial"/>
        <family val="2"/>
      </rPr>
      <t xml:space="preserve"> There are no unfunded school district and community college district state-mandated programs.</t>
    </r>
  </si>
  <si>
    <r>
      <t>Appropriation Balances</t>
    </r>
    <r>
      <rPr>
        <b/>
        <vertAlign val="superscript"/>
        <sz val="12"/>
        <color theme="1"/>
        <rFont val="Arial"/>
        <family val="2"/>
      </rPr>
      <t>1</t>
    </r>
    <r>
      <rPr>
        <b/>
        <sz val="12"/>
        <color theme="1"/>
        <rFont val="Arial"/>
        <family val="2"/>
      </rPr>
      <t xml:space="preserve"> </t>
    </r>
  </si>
  <si>
    <t>Comment: As of 8/31/2022, except for the Budget Act of 2023 appropriations as of 7/1/2023.</t>
  </si>
  <si>
    <t>Comment: Re-appropriated by Chapter 12, Statues of 2023. Item 8885-491. Encumbrance through 6/30/2024.</t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</si>
  <si>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H2, J5, and J8.)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</si>
  <si>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Re-appropriated by Chapter 12, Statutes of 2023. Item 8885-490. Encumbrance through 6/30/2024.</t>
    </r>
  </si>
  <si>
    <r>
      <rPr>
        <b/>
        <sz val="12"/>
        <color theme="1"/>
        <rFont val="Arial"/>
        <family val="2"/>
      </rPr>
      <t>Grand Total Local Agencies and School Districts</t>
    </r>
    <r>
      <rPr>
        <b/>
        <vertAlign val="superscript"/>
        <sz val="12"/>
        <color theme="1"/>
        <rFont val="Arial"/>
        <family val="2"/>
      </rPr>
      <t>4</t>
    </r>
  </si>
  <si>
    <r>
      <rPr>
        <b/>
        <sz val="12"/>
        <color theme="1"/>
        <rFont val="Arial"/>
        <family val="2"/>
      </rPr>
      <t>Less: Net Payments and Offsets</t>
    </r>
    <r>
      <rPr>
        <b/>
        <vertAlign val="superscript"/>
        <sz val="12"/>
        <color theme="1"/>
        <rFont val="Arial"/>
        <family val="2"/>
      </rPr>
      <t>1</t>
    </r>
  </si>
  <si>
    <r>
      <t>Total Unfunded Mandates</t>
    </r>
    <r>
      <rPr>
        <b/>
        <vertAlign val="superscript"/>
        <sz val="12"/>
        <color theme="1"/>
        <rFont val="Arial"/>
        <family val="2"/>
      </rPr>
      <t>8</t>
    </r>
  </si>
  <si>
    <t>Footnote: (For those using screen readers this footnote is identical to comment referenced in cell G2.)</t>
  </si>
  <si>
    <r>
      <t>Appropriation Balances</t>
    </r>
    <r>
      <rPr>
        <b/>
        <vertAlign val="superscript"/>
        <sz val="12"/>
        <color theme="1"/>
        <rFont val="Arial"/>
        <family val="2"/>
      </rPr>
      <t>1</t>
    </r>
  </si>
  <si>
    <t>Comment: Re-appropriated by Chapter 12, Statues of 2023. Item 8885-490. Encumbrance through 6/30/2024.</t>
  </si>
  <si>
    <t>0001-8885-2021-29523-98 Total</t>
  </si>
  <si>
    <t>0001-8885-2020-295-98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</si>
</sst>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&quot;$&quot;#,##0"/>
    <numFmt numFmtId="167" formatCode="m/d/yy;@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12"/>
      <color theme="0"/>
      <name val="Arial"/>
      <family val="2"/>
    </font>
    <font>
      <sz val="9"/>
      <color indexed="81"/>
      <name val="Tahoma"/>
      <family val="2"/>
    </font>
    <font>
      <sz val="12"/>
      <color theme="0"/>
      <name val="Arial"/>
      <family val="2"/>
    </font>
    <font>
      <vertAlign val="superscript"/>
      <sz val="12"/>
      <color theme="1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sz val="24"/>
      <name val="Arial"/>
      <family val="2"/>
    </font>
    <font>
      <b/>
      <sz val="36"/>
      <name val="Arial"/>
      <family val="2"/>
    </font>
    <font>
      <b/>
      <sz val="36"/>
      <name val="Franklin Gothic Medium Cond"/>
      <family val="2"/>
    </font>
    <font>
      <b/>
      <sz val="32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vertAlign val="superscript"/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0"/>
      <name val="Arial"/>
    </font>
    <font>
      <sz val="12"/>
      <color theme="1"/>
      <name val="Arial"/>
    </font>
    <font>
      <b/>
      <sz val="12"/>
      <color theme="1"/>
      <name val="Arial"/>
    </font>
    <font>
      <b/>
      <sz val="12"/>
      <color theme="0"/>
      <name val="Arial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auto="1"/>
        <bgColor theme="0"/>
      </patternFill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0" tint="-0.499984740745262"/>
      </left>
      <right style="hair">
        <color theme="0" tint="-0.499984740745262"/>
      </right>
      <top/>
      <bottom style="hair">
        <color theme="0" tint="-0.499984740745262"/>
      </bottom>
      <diagonal/>
    </border>
    <border>
      <left style="hair">
        <color theme="0" tint="-0.499984740745262"/>
      </left>
      <right style="thin">
        <color auto="1"/>
      </right>
      <top/>
      <bottom style="hair">
        <color theme="0" tint="-0.499984740745262"/>
      </bottom>
      <diagonal/>
    </border>
    <border>
      <left style="hair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hair">
        <color theme="0" tint="-0.499984740745262"/>
      </right>
      <top/>
      <bottom/>
      <diagonal/>
    </border>
    <border>
      <left style="hair">
        <color theme="0" tint="-0.499984740745262"/>
      </left>
      <right style="thin">
        <color indexed="64"/>
      </right>
      <top/>
      <bottom/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 style="hair">
        <color theme="0" tint="-0.499984740745262"/>
      </right>
      <top style="hair">
        <color theme="0" tint="-0.499984740745262"/>
      </top>
      <bottom/>
      <diagonal/>
    </border>
    <border>
      <left style="hair">
        <color theme="0" tint="-0.499984740745262"/>
      </left>
      <right/>
      <top style="hair">
        <color theme="0" tint="-0.499984740745262"/>
      </top>
      <bottom/>
      <diagonal/>
    </border>
    <border>
      <left/>
      <right/>
      <top/>
      <bottom style="hair">
        <color theme="0" tint="-0.499984740745262"/>
      </bottom>
      <diagonal/>
    </border>
    <border>
      <left style="hair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auto="1"/>
      </top>
      <bottom/>
      <diagonal/>
    </border>
    <border>
      <left style="hair">
        <color theme="0" tint="-0.499984740745262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 tint="-0.24994659260841701"/>
      </left>
      <right/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</cellStyleXfs>
  <cellXfs count="346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4" fillId="0" borderId="0" xfId="0" applyFont="1" applyAlignment="1">
      <alignment horizontal="centerContinuous" wrapText="1"/>
    </xf>
    <xf numFmtId="0" fontId="7" fillId="0" borderId="1" xfId="0" applyFont="1" applyBorder="1" applyAlignment="1">
      <alignment horizontal="center"/>
    </xf>
    <xf numFmtId="0" fontId="2" fillId="0" borderId="0" xfId="0" applyFont="1" applyFill="1"/>
    <xf numFmtId="0" fontId="3" fillId="0" borderId="12" xfId="0" applyFont="1" applyBorder="1" applyAlignment="1">
      <alignment horizontal="center" wrapText="1"/>
    </xf>
    <xf numFmtId="0" fontId="4" fillId="0" borderId="0" xfId="0" applyFont="1" applyFill="1" applyAlignment="1">
      <alignment horizontal="centerContinuous" wrapText="1"/>
    </xf>
    <xf numFmtId="0" fontId="3" fillId="0" borderId="0" xfId="0" applyFont="1" applyFill="1" applyAlignment="1">
      <alignment horizontal="centerContinuous"/>
    </xf>
    <xf numFmtId="0" fontId="3" fillId="0" borderId="0" xfId="0" applyFont="1" applyFill="1" applyAlignment="1">
      <alignment horizontal="centerContinuous" wrapText="1"/>
    </xf>
    <xf numFmtId="0" fontId="3" fillId="0" borderId="13" xfId="0" applyFont="1" applyFill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12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wrapText="1"/>
    </xf>
    <xf numFmtId="0" fontId="2" fillId="0" borderId="0" xfId="0" applyFont="1" applyBorder="1" applyAlignment="1">
      <alignment horizontal="center"/>
    </xf>
    <xf numFmtId="164" fontId="2" fillId="0" borderId="0" xfId="2" applyNumberFormat="1" applyFont="1" applyFill="1"/>
    <xf numFmtId="164" fontId="2" fillId="0" borderId="0" xfId="2" applyNumberFormat="1" applyFont="1"/>
    <xf numFmtId="0" fontId="2" fillId="0" borderId="0" xfId="0" applyFont="1" applyAlignment="1">
      <alignment horizontal="centerContinuous" wrapText="1"/>
    </xf>
    <xf numFmtId="0" fontId="2" fillId="0" borderId="0" xfId="0" applyFont="1" applyAlignment="1">
      <alignment horizontal="centerContinuous"/>
    </xf>
    <xf numFmtId="164" fontId="2" fillId="0" borderId="0" xfId="2" applyNumberFormat="1" applyFont="1" applyFill="1" applyAlignment="1">
      <alignment horizontal="centerContinuous"/>
    </xf>
    <xf numFmtId="164" fontId="2" fillId="0" borderId="0" xfId="2" applyNumberFormat="1" applyFont="1" applyAlignment="1">
      <alignment horizontal="centerContinuous"/>
    </xf>
    <xf numFmtId="164" fontId="3" fillId="0" borderId="13" xfId="2" applyNumberFormat="1" applyFont="1" applyFill="1" applyBorder="1" applyAlignment="1">
      <alignment horizontal="center" vertical="center" wrapText="1"/>
    </xf>
    <xf numFmtId="0" fontId="3" fillId="0" borderId="1" xfId="0" applyFont="1" applyBorder="1"/>
    <xf numFmtId="0" fontId="3" fillId="0" borderId="0" xfId="0" applyFont="1" applyBorder="1"/>
    <xf numFmtId="42" fontId="3" fillId="0" borderId="0" xfId="0" applyNumberFormat="1" applyFont="1" applyFill="1" applyBorder="1"/>
    <xf numFmtId="0" fontId="3" fillId="0" borderId="12" xfId="0" applyFont="1" applyBorder="1" applyAlignment="1">
      <alignment horizontal="center" vertical="center" wrapText="1"/>
    </xf>
    <xf numFmtId="164" fontId="3" fillId="0" borderId="12" xfId="2" applyNumberFormat="1" applyFont="1" applyFill="1" applyBorder="1" applyAlignment="1">
      <alignment horizontal="center" vertical="center" wrapText="1"/>
    </xf>
    <xf numFmtId="164" fontId="3" fillId="0" borderId="12" xfId="2" applyNumberFormat="1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wrapText="1"/>
    </xf>
    <xf numFmtId="0" fontId="9" fillId="0" borderId="0" xfId="0" applyFont="1"/>
    <xf numFmtId="164" fontId="3" fillId="0" borderId="0" xfId="0" applyNumberFormat="1" applyFont="1" applyBorder="1"/>
    <xf numFmtId="5" fontId="3" fillId="0" borderId="0" xfId="0" applyNumberFormat="1" applyFont="1" applyBorder="1"/>
    <xf numFmtId="0" fontId="2" fillId="0" borderId="0" xfId="0" applyFont="1" applyFill="1" applyBorder="1"/>
    <xf numFmtId="0" fontId="2" fillId="0" borderId="0" xfId="0" applyFont="1" applyBorder="1"/>
    <xf numFmtId="0" fontId="7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/>
    </xf>
    <xf numFmtId="14" fontId="2" fillId="0" borderId="7" xfId="0" quotePrefix="1" applyNumberFormat="1" applyFont="1" applyFill="1" applyBorder="1" applyAlignment="1">
      <alignment horizontal="center"/>
    </xf>
    <xf numFmtId="0" fontId="2" fillId="0" borderId="7" xfId="0" applyFont="1" applyFill="1" applyBorder="1" applyAlignment="1">
      <alignment horizontal="left"/>
    </xf>
    <xf numFmtId="0" fontId="2" fillId="0" borderId="6" xfId="0" applyFont="1" applyFill="1" applyBorder="1" applyProtection="1">
      <protection locked="0"/>
    </xf>
    <xf numFmtId="0" fontId="2" fillId="0" borderId="0" xfId="0" applyFont="1" applyFill="1" applyBorder="1" applyAlignment="1">
      <alignment horizontal="center"/>
    </xf>
    <xf numFmtId="42" fontId="2" fillId="0" borderId="0" xfId="0" applyNumberFormat="1" applyFont="1" applyFill="1" applyBorder="1" applyAlignment="1">
      <alignment horizontal="left"/>
    </xf>
    <xf numFmtId="0" fontId="2" fillId="0" borderId="6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/>
    </xf>
    <xf numFmtId="0" fontId="11" fillId="0" borderId="0" xfId="0" applyFont="1" applyFill="1" applyBorder="1"/>
    <xf numFmtId="0" fontId="2" fillId="0" borderId="14" xfId="0" applyFont="1" applyFill="1" applyBorder="1" applyAlignment="1">
      <alignment horizontal="left"/>
    </xf>
    <xf numFmtId="14" fontId="2" fillId="0" borderId="10" xfId="0" quotePrefix="1" applyNumberFormat="1" applyFont="1" applyFill="1" applyBorder="1" applyAlignment="1">
      <alignment horizontal="center"/>
    </xf>
    <xf numFmtId="42" fontId="2" fillId="0" borderId="10" xfId="0" applyNumberFormat="1" applyFont="1" applyFill="1" applyBorder="1" applyAlignment="1">
      <alignment horizontal="left"/>
    </xf>
    <xf numFmtId="42" fontId="2" fillId="0" borderId="15" xfId="2" applyNumberFormat="1" applyFont="1" applyFill="1" applyBorder="1" applyAlignment="1"/>
    <xf numFmtId="0" fontId="5" fillId="0" borderId="13" xfId="0" applyFont="1" applyFill="1" applyBorder="1" applyAlignment="1" applyProtection="1">
      <alignment horizontal="center" wrapText="1"/>
      <protection locked="0"/>
    </xf>
    <xf numFmtId="0" fontId="5" fillId="0" borderId="13" xfId="0" applyFont="1" applyFill="1" applyBorder="1" applyAlignment="1">
      <alignment horizontal="center" wrapText="1"/>
    </xf>
    <xf numFmtId="164" fontId="5" fillId="0" borderId="13" xfId="0" applyNumberFormat="1" applyFont="1" applyFill="1" applyBorder="1" applyAlignment="1" applyProtection="1">
      <alignment horizontal="center" wrapText="1"/>
      <protection locked="0"/>
    </xf>
    <xf numFmtId="0" fontId="7" fillId="0" borderId="13" xfId="0" applyFont="1" applyFill="1" applyBorder="1" applyAlignment="1">
      <alignment horizontal="center" wrapText="1"/>
    </xf>
    <xf numFmtId="164" fontId="5" fillId="0" borderId="13" xfId="0" applyNumberFormat="1" applyFont="1" applyFill="1" applyBorder="1" applyAlignment="1">
      <alignment horizontal="center" wrapText="1"/>
    </xf>
    <xf numFmtId="49" fontId="5" fillId="0" borderId="13" xfId="0" applyNumberFormat="1" applyFont="1" applyFill="1" applyBorder="1" applyAlignment="1">
      <alignment horizontal="center" wrapText="1"/>
    </xf>
    <xf numFmtId="164" fontId="5" fillId="0" borderId="3" xfId="0" applyNumberFormat="1" applyFont="1" applyFill="1" applyBorder="1" applyAlignment="1" applyProtection="1">
      <alignment horizontal="center" wrapText="1"/>
      <protection locked="0"/>
    </xf>
    <xf numFmtId="0" fontId="2" fillId="0" borderId="17" xfId="0" applyFont="1" applyFill="1" applyBorder="1" applyAlignment="1">
      <alignment horizontal="left"/>
    </xf>
    <xf numFmtId="0" fontId="2" fillId="0" borderId="18" xfId="0" applyFont="1" applyFill="1" applyBorder="1" applyAlignment="1">
      <alignment horizontal="left"/>
    </xf>
    <xf numFmtId="164" fontId="9" fillId="0" borderId="7" xfId="2" applyNumberFormat="1" applyFont="1" applyFill="1" applyBorder="1" applyAlignment="1">
      <alignment horizontal="center"/>
    </xf>
    <xf numFmtId="42" fontId="2" fillId="0" borderId="18" xfId="0" applyNumberFormat="1" applyFont="1" applyFill="1" applyBorder="1" applyAlignment="1">
      <alignment horizontal="left"/>
    </xf>
    <xf numFmtId="0" fontId="2" fillId="0" borderId="20" xfId="0" applyFont="1" applyFill="1" applyBorder="1" applyAlignment="1">
      <alignment horizontal="left"/>
    </xf>
    <xf numFmtId="0" fontId="2" fillId="0" borderId="21" xfId="0" applyFont="1" applyFill="1" applyBorder="1" applyAlignment="1">
      <alignment horizontal="left"/>
    </xf>
    <xf numFmtId="164" fontId="9" fillId="0" borderId="21" xfId="2" applyNumberFormat="1" applyFont="1" applyFill="1" applyBorder="1" applyAlignment="1">
      <alignment horizontal="center"/>
    </xf>
    <xf numFmtId="14" fontId="2" fillId="0" borderId="21" xfId="0" quotePrefix="1" applyNumberFormat="1" applyFont="1" applyFill="1" applyBorder="1" applyAlignment="1">
      <alignment horizontal="center"/>
    </xf>
    <xf numFmtId="0" fontId="2" fillId="0" borderId="10" xfId="0" applyFont="1" applyFill="1" applyBorder="1" applyAlignment="1">
      <alignment horizontal="left"/>
    </xf>
    <xf numFmtId="0" fontId="2" fillId="0" borderId="23" xfId="0" applyFont="1" applyFill="1" applyBorder="1" applyAlignment="1">
      <alignment horizontal="center"/>
    </xf>
    <xf numFmtId="42" fontId="2" fillId="0" borderId="23" xfId="0" applyNumberFormat="1" applyFont="1" applyFill="1" applyBorder="1" applyAlignment="1">
      <alignment horizontal="left"/>
    </xf>
    <xf numFmtId="0" fontId="7" fillId="0" borderId="0" xfId="0" applyFont="1" applyFill="1"/>
    <xf numFmtId="0" fontId="2" fillId="0" borderId="20" xfId="0" applyFont="1" applyFill="1" applyBorder="1" applyProtection="1">
      <protection locked="0"/>
    </xf>
    <xf numFmtId="0" fontId="3" fillId="0" borderId="1" xfId="0" applyFont="1" applyFill="1" applyBorder="1"/>
    <xf numFmtId="164" fontId="9" fillId="0" borderId="7" xfId="2" applyNumberFormat="1" applyFont="1" applyFill="1" applyBorder="1" applyAlignment="1"/>
    <xf numFmtId="164" fontId="9" fillId="0" borderId="21" xfId="2" applyNumberFormat="1" applyFont="1" applyFill="1" applyBorder="1" applyAlignment="1"/>
    <xf numFmtId="14" fontId="2" fillId="0" borderId="18" xfId="0" quotePrefix="1" applyNumberFormat="1" applyFont="1" applyFill="1" applyBorder="1" applyAlignment="1">
      <alignment horizontal="center"/>
    </xf>
    <xf numFmtId="42" fontId="2" fillId="0" borderId="19" xfId="2" applyNumberFormat="1" applyFont="1" applyFill="1" applyBorder="1" applyAlignment="1"/>
    <xf numFmtId="0" fontId="2" fillId="0" borderId="10" xfId="0" applyFont="1" applyFill="1" applyBorder="1" applyAlignment="1">
      <alignment horizontal="center"/>
    </xf>
    <xf numFmtId="164" fontId="3" fillId="0" borderId="0" xfId="0" applyNumberFormat="1" applyFont="1" applyFill="1" applyAlignment="1">
      <alignment horizontal="centerContinuous"/>
    </xf>
    <xf numFmtId="164" fontId="2" fillId="0" borderId="0" xfId="0" applyNumberFormat="1" applyFont="1" applyFill="1" applyAlignment="1">
      <alignment horizontal="centerContinuous"/>
    </xf>
    <xf numFmtId="5" fontId="3" fillId="0" borderId="1" xfId="0" applyNumberFormat="1" applyFont="1" applyFill="1" applyBorder="1"/>
    <xf numFmtId="42" fontId="2" fillId="0" borderId="0" xfId="0" applyNumberFormat="1" applyFont="1" applyFill="1" applyBorder="1"/>
    <xf numFmtId="5" fontId="2" fillId="0" borderId="0" xfId="0" applyNumberFormat="1" applyFont="1" applyFill="1" applyBorder="1"/>
    <xf numFmtId="0" fontId="2" fillId="0" borderId="0" xfId="0" applyFont="1" applyFill="1" applyAlignment="1">
      <alignment horizontal="center"/>
    </xf>
    <xf numFmtId="164" fontId="2" fillId="0" borderId="0" xfId="0" applyNumberFormat="1" applyFont="1" applyFill="1" applyAlignment="1"/>
    <xf numFmtId="0" fontId="2" fillId="0" borderId="0" xfId="0" applyFont="1" applyFill="1" applyAlignment="1">
      <alignment vertical="top"/>
    </xf>
    <xf numFmtId="0" fontId="7" fillId="0" borderId="0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5" fontId="2" fillId="0" borderId="2" xfId="0" applyNumberFormat="1" applyFont="1" applyFill="1" applyBorder="1"/>
    <xf numFmtId="0" fontId="3" fillId="0" borderId="0" xfId="0" applyFont="1" applyFill="1" applyBorder="1" applyAlignment="1">
      <alignment horizontal="center"/>
    </xf>
    <xf numFmtId="0" fontId="13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14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4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2" fillId="0" borderId="0" xfId="0" applyFont="1" applyAlignment="1">
      <alignment horizontal="centerContinuous"/>
    </xf>
    <xf numFmtId="0" fontId="14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Continuous"/>
    </xf>
    <xf numFmtId="0" fontId="4" fillId="0" borderId="0" xfId="0" applyFont="1"/>
    <xf numFmtId="0" fontId="14" fillId="0" borderId="0" xfId="0" applyFont="1"/>
    <xf numFmtId="0" fontId="15" fillId="0" borderId="0" xfId="0" applyFont="1" applyAlignment="1">
      <alignment horizontal="centerContinuous" vertical="center"/>
    </xf>
    <xf numFmtId="0" fontId="16" fillId="0" borderId="0" xfId="0" applyFont="1" applyAlignment="1">
      <alignment horizontal="centerContinuous" vertical="center"/>
    </xf>
    <xf numFmtId="0" fontId="0" fillId="0" borderId="0" xfId="0" applyAlignment="1">
      <alignment horizontal="left"/>
    </xf>
    <xf numFmtId="0" fontId="17" fillId="0" borderId="0" xfId="0" applyFont="1" applyAlignment="1">
      <alignment horizontal="left" vertical="center"/>
    </xf>
    <xf numFmtId="0" fontId="9" fillId="0" borderId="0" xfId="0" applyFont="1" applyAlignment="1">
      <alignment horizontal="centerContinuous" vertical="center"/>
    </xf>
    <xf numFmtId="0" fontId="9" fillId="0" borderId="0" xfId="0" applyFont="1" applyAlignment="1">
      <alignment horizontal="centerContinuous"/>
    </xf>
    <xf numFmtId="0" fontId="18" fillId="0" borderId="0" xfId="0" applyFont="1" applyAlignment="1">
      <alignment horizontal="centerContinuous" vertical="center"/>
    </xf>
    <xf numFmtId="0" fontId="19" fillId="0" borderId="1" xfId="0" applyFont="1" applyFill="1" applyBorder="1"/>
    <xf numFmtId="164" fontId="20" fillId="0" borderId="11" xfId="0" applyNumberFormat="1" applyFont="1" applyFill="1" applyBorder="1" applyAlignment="1">
      <alignment horizontal="center"/>
    </xf>
    <xf numFmtId="164" fontId="20" fillId="0" borderId="11" xfId="0" applyNumberFormat="1" applyFont="1" applyFill="1" applyBorder="1" applyAlignment="1"/>
    <xf numFmtId="0" fontId="21" fillId="0" borderId="1" xfId="0" applyFont="1" applyFill="1" applyBorder="1"/>
    <xf numFmtId="0" fontId="9" fillId="0" borderId="10" xfId="0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20" fillId="0" borderId="1" xfId="0" applyFont="1" applyFill="1" applyBorder="1" applyAlignment="1">
      <alignment horizontal="center"/>
    </xf>
    <xf numFmtId="0" fontId="9" fillId="0" borderId="2" xfId="0" applyFont="1" applyFill="1" applyBorder="1" applyAlignment="1">
      <alignment horizontal="left" vertical="center"/>
    </xf>
    <xf numFmtId="0" fontId="3" fillId="0" borderId="0" xfId="0" applyFont="1" applyFill="1" applyBorder="1"/>
    <xf numFmtId="0" fontId="3" fillId="0" borderId="13" xfId="0" applyFont="1" applyFill="1" applyBorder="1" applyAlignment="1">
      <alignment horizontal="center" vertical="center" wrapText="1"/>
    </xf>
    <xf numFmtId="164" fontId="3" fillId="0" borderId="3" xfId="2" applyNumberFormat="1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center"/>
    </xf>
    <xf numFmtId="0" fontId="2" fillId="0" borderId="0" xfId="0" applyFont="1" applyFill="1" applyBorder="1" applyAlignment="1">
      <alignment wrapText="1"/>
    </xf>
    <xf numFmtId="0" fontId="3" fillId="0" borderId="12" xfId="0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165" fontId="3" fillId="0" borderId="0" xfId="1" applyNumberFormat="1" applyFont="1" applyFill="1" applyAlignment="1">
      <alignment horizontal="centerContinuous"/>
    </xf>
    <xf numFmtId="165" fontId="2" fillId="0" borderId="0" xfId="1" applyNumberFormat="1" applyFont="1" applyFill="1"/>
    <xf numFmtId="0" fontId="3" fillId="0" borderId="27" xfId="0" applyFont="1" applyFill="1" applyBorder="1" applyAlignment="1">
      <alignment horizontal="center" wrapText="1"/>
    </xf>
    <xf numFmtId="0" fontId="7" fillId="0" borderId="12" xfId="0" applyFont="1" applyFill="1" applyBorder="1" applyAlignment="1">
      <alignment horizontal="center" wrapText="1"/>
    </xf>
    <xf numFmtId="0" fontId="3" fillId="0" borderId="12" xfId="0" applyFont="1" applyFill="1" applyBorder="1" applyAlignment="1">
      <alignment horizontal="center"/>
    </xf>
    <xf numFmtId="42" fontId="3" fillId="0" borderId="12" xfId="0" applyNumberFormat="1" applyFont="1" applyFill="1" applyBorder="1" applyAlignment="1">
      <alignment horizontal="center" wrapText="1"/>
    </xf>
    <xf numFmtId="0" fontId="7" fillId="0" borderId="12" xfId="0" applyFont="1" applyFill="1" applyBorder="1" applyAlignment="1">
      <alignment wrapText="1"/>
    </xf>
    <xf numFmtId="0" fontId="5" fillId="0" borderId="12" xfId="3" applyFont="1" applyFill="1" applyBorder="1" applyAlignment="1">
      <alignment horizontal="center" wrapText="1"/>
    </xf>
    <xf numFmtId="165" fontId="9" fillId="0" borderId="0" xfId="1" applyNumberFormat="1" applyFont="1" applyFill="1" applyBorder="1" applyAlignment="1">
      <alignment wrapText="1"/>
    </xf>
    <xf numFmtId="0" fontId="3" fillId="0" borderId="5" xfId="0" applyFont="1" applyFill="1" applyBorder="1" applyAlignment="1">
      <alignment horizontal="left"/>
    </xf>
    <xf numFmtId="165" fontId="9" fillId="0" borderId="0" xfId="1" applyNumberFormat="1" applyFont="1" applyFill="1" applyBorder="1" applyAlignment="1">
      <alignment horizontal="center"/>
    </xf>
    <xf numFmtId="165" fontId="2" fillId="0" borderId="0" xfId="1" applyNumberFormat="1" applyFont="1" applyFill="1" applyBorder="1"/>
    <xf numFmtId="0" fontId="2" fillId="0" borderId="5" xfId="0" applyFont="1" applyFill="1" applyBorder="1" applyAlignment="1">
      <alignment horizontal="left"/>
    </xf>
    <xf numFmtId="0" fontId="10" fillId="0" borderId="0" xfId="0" applyNumberFormat="1" applyFont="1" applyFill="1" applyBorder="1" applyAlignment="1">
      <alignment horizontal="center" vertical="top"/>
    </xf>
    <xf numFmtId="0" fontId="7" fillId="0" borderId="5" xfId="0" applyFont="1" applyFill="1" applyBorder="1" applyAlignment="1"/>
    <xf numFmtId="0" fontId="3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wrapText="1"/>
    </xf>
    <xf numFmtId="42" fontId="3" fillId="0" borderId="0" xfId="0" applyNumberFormat="1" applyFont="1" applyFill="1" applyBorder="1" applyAlignment="1">
      <alignment horizontal="left"/>
    </xf>
    <xf numFmtId="0" fontId="7" fillId="0" borderId="5" xfId="0" applyFont="1" applyFill="1" applyBorder="1" applyAlignment="1">
      <alignment wrapText="1"/>
    </xf>
    <xf numFmtId="0" fontId="10" fillId="0" borderId="0" xfId="0" applyNumberFormat="1" applyFont="1" applyFill="1" applyBorder="1" applyAlignment="1">
      <alignment horizontal="center"/>
    </xf>
    <xf numFmtId="0" fontId="5" fillId="0" borderId="28" xfId="0" applyFont="1" applyFill="1" applyBorder="1" applyAlignment="1"/>
    <xf numFmtId="166" fontId="7" fillId="0" borderId="0" xfId="0" applyNumberFormat="1" applyFont="1" applyFill="1" applyBorder="1" applyAlignment="1"/>
    <xf numFmtId="166" fontId="7" fillId="0" borderId="1" xfId="0" applyNumberFormat="1" applyFont="1" applyFill="1" applyBorder="1" applyAlignment="1"/>
    <xf numFmtId="165" fontId="3" fillId="0" borderId="0" xfId="1" applyNumberFormat="1" applyFont="1" applyFill="1"/>
    <xf numFmtId="0" fontId="3" fillId="0" borderId="0" xfId="0" applyFont="1" applyFill="1"/>
    <xf numFmtId="0" fontId="7" fillId="0" borderId="1" xfId="0" applyFont="1" applyFill="1" applyBorder="1" applyAlignment="1">
      <alignment horizontal="left"/>
    </xf>
    <xf numFmtId="0" fontId="3" fillId="0" borderId="29" xfId="0" applyFont="1" applyFill="1" applyBorder="1" applyAlignment="1">
      <alignment horizontal="center" wrapText="1"/>
    </xf>
    <xf numFmtId="0" fontId="3" fillId="0" borderId="13" xfId="0" applyFont="1" applyFill="1" applyBorder="1" applyAlignment="1">
      <alignment horizontal="center"/>
    </xf>
    <xf numFmtId="42" fontId="3" fillId="0" borderId="13" xfId="0" applyNumberFormat="1" applyFont="1" applyFill="1" applyBorder="1" applyAlignment="1">
      <alignment horizontal="center" wrapText="1"/>
    </xf>
    <xf numFmtId="0" fontId="7" fillId="0" borderId="13" xfId="0" applyFont="1" applyFill="1" applyBorder="1" applyAlignment="1">
      <alignment wrapText="1"/>
    </xf>
    <xf numFmtId="0" fontId="3" fillId="0" borderId="28" xfId="0" applyFont="1" applyFill="1" applyBorder="1" applyAlignment="1"/>
    <xf numFmtId="0" fontId="7" fillId="0" borderId="1" xfId="0" applyFont="1" applyFill="1" applyBorder="1" applyAlignment="1">
      <alignment horizontal="right"/>
    </xf>
    <xf numFmtId="0" fontId="2" fillId="0" borderId="5" xfId="0" applyFont="1" applyFill="1" applyBorder="1"/>
    <xf numFmtId="0" fontId="10" fillId="0" borderId="5" xfId="0" applyFont="1" applyFill="1" applyBorder="1" applyAlignment="1">
      <alignment horizontal="left"/>
    </xf>
    <xf numFmtId="0" fontId="2" fillId="0" borderId="30" xfId="0" applyFont="1" applyFill="1" applyBorder="1" applyAlignment="1">
      <alignment horizontal="left" wrapText="1"/>
    </xf>
    <xf numFmtId="0" fontId="2" fillId="0" borderId="0" xfId="0" applyFont="1" applyFill="1" applyBorder="1" applyAlignment="1">
      <alignment horizontal="left" wrapText="1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left" wrapText="1"/>
    </xf>
    <xf numFmtId="0" fontId="10" fillId="0" borderId="30" xfId="0" applyFont="1" applyFill="1" applyBorder="1" applyAlignment="1">
      <alignment horizontal="left" wrapText="1"/>
    </xf>
    <xf numFmtId="0" fontId="2" fillId="0" borderId="31" xfId="0" applyFont="1" applyFill="1" applyBorder="1"/>
    <xf numFmtId="1" fontId="4" fillId="0" borderId="0" xfId="0" applyNumberFormat="1" applyFont="1" applyFill="1" applyBorder="1" applyAlignment="1">
      <alignment horizontal="centerContinuous" wrapText="1"/>
    </xf>
    <xf numFmtId="0" fontId="3" fillId="0" borderId="0" xfId="0" applyFont="1" applyFill="1" applyBorder="1" applyAlignment="1">
      <alignment horizontal="centerContinuous"/>
    </xf>
    <xf numFmtId="167" fontId="3" fillId="0" borderId="0" xfId="0" applyNumberFormat="1" applyFont="1" applyFill="1" applyBorder="1" applyAlignment="1">
      <alignment horizontal="centerContinuous" vertical="top"/>
    </xf>
    <xf numFmtId="49" fontId="3" fillId="0" borderId="0" xfId="0" applyNumberFormat="1" applyFont="1" applyFill="1" applyBorder="1" applyAlignment="1">
      <alignment horizontal="centerContinuous"/>
    </xf>
    <xf numFmtId="1" fontId="3" fillId="0" borderId="13" xfId="0" applyNumberFormat="1" applyFont="1" applyFill="1" applyBorder="1" applyAlignment="1">
      <alignment horizontal="center"/>
    </xf>
    <xf numFmtId="14" fontId="3" fillId="0" borderId="13" xfId="0" applyNumberFormat="1" applyFont="1" applyFill="1" applyBorder="1" applyAlignment="1">
      <alignment horizontal="center" wrapText="1"/>
    </xf>
    <xf numFmtId="1" fontId="2" fillId="0" borderId="0" xfId="0" applyNumberFormat="1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14" fontId="2" fillId="0" borderId="0" xfId="0" applyNumberFormat="1" applyFont="1" applyFill="1" applyBorder="1" applyAlignment="1">
      <alignment horizontal="center" wrapText="1"/>
    </xf>
    <xf numFmtId="49" fontId="2" fillId="0" borderId="0" xfId="0" applyNumberFormat="1" applyFont="1" applyFill="1" applyBorder="1" applyAlignment="1">
      <alignment horizontal="center" wrapText="1"/>
    </xf>
    <xf numFmtId="166" fontId="11" fillId="0" borderId="0" xfId="0" applyNumberFormat="1" applyFont="1" applyFill="1" applyBorder="1" applyAlignment="1">
      <alignment wrapText="1"/>
    </xf>
    <xf numFmtId="0" fontId="11" fillId="0" borderId="0" xfId="0" applyFont="1" applyFill="1" applyBorder="1" applyAlignment="1">
      <alignment wrapText="1"/>
    </xf>
    <xf numFmtId="0" fontId="3" fillId="0" borderId="1" xfId="0" applyFont="1" applyFill="1" applyBorder="1" applyAlignment="1">
      <alignment wrapText="1"/>
    </xf>
    <xf numFmtId="1" fontId="2" fillId="0" borderId="0" xfId="0" applyNumberFormat="1" applyFont="1" applyFill="1" applyBorder="1"/>
    <xf numFmtId="167" fontId="2" fillId="0" borderId="0" xfId="0" applyNumberFormat="1" applyFont="1" applyFill="1" applyBorder="1" applyAlignment="1">
      <alignment horizontal="right" vertical="top"/>
    </xf>
    <xf numFmtId="49" fontId="2" fillId="0" borderId="0" xfId="0" applyNumberFormat="1" applyFont="1" applyFill="1" applyBorder="1"/>
    <xf numFmtId="0" fontId="2" fillId="0" borderId="0" xfId="0" applyNumberFormat="1" applyFont="1" applyFill="1" applyBorder="1" applyAlignment="1" applyProtection="1"/>
    <xf numFmtId="167" fontId="2" fillId="0" borderId="0" xfId="0" applyNumberFormat="1" applyFont="1" applyFill="1" applyBorder="1" applyAlignment="1">
      <alignment horizontal="left" vertical="top"/>
    </xf>
    <xf numFmtId="0" fontId="26" fillId="0" borderId="0" xfId="0" applyFont="1" applyFill="1" applyAlignment="1">
      <alignment horizontal="centerContinuous" wrapText="1"/>
    </xf>
    <xf numFmtId="0" fontId="26" fillId="0" borderId="0" xfId="0" applyFont="1" applyFill="1" applyAlignment="1">
      <alignment horizontal="centerContinuous"/>
    </xf>
    <xf numFmtId="164" fontId="26" fillId="0" borderId="0" xfId="2" applyNumberFormat="1" applyFont="1" applyFill="1" applyAlignment="1">
      <alignment horizontal="centerContinuous"/>
    </xf>
    <xf numFmtId="164" fontId="25" fillId="0" borderId="0" xfId="2" applyNumberFormat="1" applyFont="1" applyFill="1" applyAlignment="1">
      <alignment horizontal="centerContinuous"/>
    </xf>
    <xf numFmtId="164" fontId="3" fillId="0" borderId="12" xfId="2" applyNumberFormat="1" applyFont="1" applyFill="1" applyBorder="1" applyAlignment="1">
      <alignment horizontal="center" wrapText="1"/>
    </xf>
    <xf numFmtId="0" fontId="7" fillId="0" borderId="12" xfId="2" applyNumberFormat="1" applyFont="1" applyFill="1" applyBorder="1" applyAlignment="1">
      <alignment horizontal="center" wrapText="1"/>
    </xf>
    <xf numFmtId="42" fontId="9" fillId="0" borderId="0" xfId="0" applyNumberFormat="1" applyFont="1" applyFill="1" applyAlignment="1">
      <alignment horizontal="center"/>
    </xf>
    <xf numFmtId="5" fontId="2" fillId="0" borderId="0" xfId="0" applyNumberFormat="1" applyFont="1" applyFill="1"/>
    <xf numFmtId="42" fontId="2" fillId="0" borderId="0" xfId="0" applyNumberFormat="1" applyFont="1" applyFill="1"/>
    <xf numFmtId="0" fontId="3" fillId="0" borderId="1" xfId="0" applyFont="1" applyFill="1" applyBorder="1" applyAlignment="1">
      <alignment horizontal="left"/>
    </xf>
    <xf numFmtId="0" fontId="9" fillId="0" borderId="0" xfId="0" applyFont="1" applyFill="1" applyAlignment="1">
      <alignment horizontal="left"/>
    </xf>
    <xf numFmtId="42" fontId="7" fillId="0" borderId="0" xfId="0" applyNumberFormat="1" applyFont="1" applyFill="1" applyBorder="1" applyAlignment="1">
      <alignment horizontal="center"/>
    </xf>
    <xf numFmtId="0" fontId="3" fillId="0" borderId="12" xfId="2" applyNumberFormat="1" applyFont="1" applyFill="1" applyBorder="1" applyAlignment="1">
      <alignment horizontal="center" wrapText="1"/>
    </xf>
    <xf numFmtId="0" fontId="7" fillId="0" borderId="12" xfId="2" applyNumberFormat="1" applyFont="1" applyFill="1" applyBorder="1" applyAlignment="1">
      <alignment horizontal="center"/>
    </xf>
    <xf numFmtId="0" fontId="29" fillId="0" borderId="1" xfId="0" applyFont="1" applyFill="1" applyBorder="1" applyAlignment="1"/>
    <xf numFmtId="0" fontId="30" fillId="0" borderId="1" xfId="0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3" fillId="0" borderId="1" xfId="0" applyFont="1" applyFill="1" applyBorder="1" applyAlignment="1"/>
    <xf numFmtId="0" fontId="2" fillId="0" borderId="2" xfId="0" applyFont="1" applyFill="1" applyBorder="1" applyAlignment="1"/>
    <xf numFmtId="0" fontId="9" fillId="0" borderId="2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horizontal="center"/>
    </xf>
    <xf numFmtId="164" fontId="3" fillId="0" borderId="0" xfId="2" applyNumberFormat="1" applyFont="1" applyFill="1" applyAlignment="1">
      <alignment horizontal="right"/>
    </xf>
    <xf numFmtId="164" fontId="3" fillId="0" borderId="0" xfId="2" applyNumberFormat="1" applyFont="1" applyFill="1" applyAlignment="1"/>
    <xf numFmtId="164" fontId="3" fillId="0" borderId="0" xfId="2" applyNumberFormat="1" applyFont="1" applyFill="1" applyAlignment="1">
      <alignment horizontal="centerContinuous"/>
    </xf>
    <xf numFmtId="164" fontId="7" fillId="0" borderId="0" xfId="2" applyNumberFormat="1" applyFont="1" applyFill="1" applyAlignment="1">
      <alignment horizontal="centerContinuous"/>
    </xf>
    <xf numFmtId="0" fontId="2" fillId="0" borderId="0" xfId="0" applyFont="1" applyFill="1" applyAlignment="1">
      <alignment horizontal="left" wrapText="1"/>
    </xf>
    <xf numFmtId="0" fontId="30" fillId="0" borderId="1" xfId="0" applyFont="1" applyFill="1" applyBorder="1" applyAlignment="1">
      <alignment horizontal="center" wrapText="1"/>
    </xf>
    <xf numFmtId="164" fontId="3" fillId="0" borderId="13" xfId="2" applyNumberFormat="1" applyFont="1" applyFill="1" applyBorder="1" applyAlignment="1">
      <alignment horizontal="center" wrapText="1"/>
    </xf>
    <xf numFmtId="0" fontId="3" fillId="0" borderId="13" xfId="2" applyNumberFormat="1" applyFont="1" applyFill="1" applyBorder="1" applyAlignment="1">
      <alignment horizontal="center" wrapText="1"/>
    </xf>
    <xf numFmtId="0" fontId="7" fillId="0" borderId="13" xfId="2" applyNumberFormat="1" applyFont="1" applyFill="1" applyBorder="1" applyAlignment="1">
      <alignment horizontal="center" wrapText="1"/>
    </xf>
    <xf numFmtId="0" fontId="7" fillId="0" borderId="1" xfId="0" applyFont="1" applyFill="1" applyBorder="1" applyAlignment="1">
      <alignment horizontal="center" wrapText="1"/>
    </xf>
    <xf numFmtId="0" fontId="9" fillId="0" borderId="2" xfId="0" applyFont="1" applyFill="1" applyBorder="1" applyAlignment="1">
      <alignment horizontal="center" wrapText="1"/>
    </xf>
    <xf numFmtId="0" fontId="28" fillId="0" borderId="0" xfId="0" applyFont="1" applyFill="1" applyBorder="1" applyAlignment="1"/>
    <xf numFmtId="0" fontId="9" fillId="0" borderId="0" xfId="0" applyFont="1" applyFill="1" applyBorder="1" applyAlignment="1">
      <alignment horizontal="center" wrapText="1"/>
    </xf>
    <xf numFmtId="0" fontId="3" fillId="0" borderId="0" xfId="0" applyFont="1" applyFill="1" applyAlignment="1"/>
    <xf numFmtId="0" fontId="3" fillId="0" borderId="0" xfId="0" applyFont="1" applyFill="1" applyAlignment="1">
      <alignment horizontal="left" wrapText="1"/>
    </xf>
    <xf numFmtId="0" fontId="2" fillId="0" borderId="0" xfId="0" applyFont="1" applyFill="1" applyAlignment="1"/>
    <xf numFmtId="164" fontId="3" fillId="0" borderId="0" xfId="2" applyNumberFormat="1" applyFont="1" applyFill="1" applyAlignment="1">
      <alignment horizontal="centerContinuous" wrapText="1"/>
    </xf>
    <xf numFmtId="164" fontId="7" fillId="0" borderId="0" xfId="2" applyNumberFormat="1" applyFont="1" applyFill="1" applyAlignment="1">
      <alignment horizontal="centerContinuous" wrapText="1"/>
    </xf>
    <xf numFmtId="0" fontId="5" fillId="0" borderId="13" xfId="3" applyFont="1" applyFill="1" applyBorder="1" applyAlignment="1">
      <alignment horizontal="center" wrapText="1"/>
    </xf>
    <xf numFmtId="42" fontId="9" fillId="0" borderId="0" xfId="0" applyNumberFormat="1" applyFont="1" applyFill="1"/>
    <xf numFmtId="166" fontId="3" fillId="0" borderId="1" xfId="0" applyNumberFormat="1" applyFont="1" applyFill="1" applyBorder="1"/>
    <xf numFmtId="166" fontId="2" fillId="0" borderId="0" xfId="0" applyNumberFormat="1" applyFont="1" applyFill="1" applyBorder="1"/>
    <xf numFmtId="0" fontId="2" fillId="0" borderId="0" xfId="0" applyFont="1" applyFill="1" applyAlignment="1">
      <alignment horizontal="left"/>
    </xf>
    <xf numFmtId="0" fontId="9" fillId="0" borderId="0" xfId="0" applyFont="1" applyFill="1" applyAlignment="1">
      <alignment horizontal="center" wrapText="1"/>
    </xf>
    <xf numFmtId="164" fontId="3" fillId="0" borderId="0" xfId="2" applyNumberFormat="1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Alignment="1"/>
    <xf numFmtId="0" fontId="27" fillId="0" borderId="0" xfId="0" applyFont="1" applyFill="1" applyAlignment="1">
      <alignment horizontal="center"/>
    </xf>
    <xf numFmtId="0" fontId="3" fillId="0" borderId="0" xfId="0" applyFont="1" applyFill="1" applyBorder="1" applyAlignment="1">
      <alignment wrapText="1"/>
    </xf>
    <xf numFmtId="164" fontId="3" fillId="0" borderId="0" xfId="2" applyNumberFormat="1" applyFont="1" applyFill="1" applyBorder="1" applyAlignment="1">
      <alignment horizontal="right"/>
    </xf>
    <xf numFmtId="164" fontId="3" fillId="0" borderId="0" xfId="2" applyNumberFormat="1" applyFont="1" applyFill="1" applyBorder="1" applyAlignment="1"/>
    <xf numFmtId="166" fontId="9" fillId="0" borderId="7" xfId="2" applyNumberFormat="1" applyFont="1" applyFill="1" applyBorder="1" applyAlignment="1"/>
    <xf numFmtId="166" fontId="9" fillId="0" borderId="21" xfId="2" applyNumberFormat="1" applyFont="1" applyFill="1" applyBorder="1" applyAlignment="1"/>
    <xf numFmtId="166" fontId="3" fillId="0" borderId="1" xfId="0" applyNumberFormat="1" applyFont="1" applyFill="1" applyBorder="1" applyAlignment="1">
      <alignment horizontal="right"/>
    </xf>
    <xf numFmtId="5" fontId="2" fillId="0" borderId="0" xfId="0" applyNumberFormat="1" applyFont="1" applyFill="1" applyBorder="1" applyAlignment="1">
      <alignment horizontal="right"/>
    </xf>
    <xf numFmtId="5" fontId="3" fillId="0" borderId="1" xfId="0" applyNumberFormat="1" applyFont="1" applyFill="1" applyBorder="1" applyAlignment="1">
      <alignment horizontal="right"/>
    </xf>
    <xf numFmtId="5" fontId="2" fillId="0" borderId="10" xfId="2" applyNumberFormat="1" applyFont="1" applyFill="1" applyBorder="1" applyAlignment="1">
      <alignment horizontal="right"/>
    </xf>
    <xf numFmtId="5" fontId="2" fillId="0" borderId="10" xfId="0" applyNumberFormat="1" applyFont="1" applyFill="1" applyBorder="1" applyAlignment="1">
      <alignment horizontal="right"/>
    </xf>
    <xf numFmtId="5" fontId="2" fillId="0" borderId="7" xfId="2" applyNumberFormat="1" applyFont="1" applyFill="1" applyBorder="1" applyAlignment="1">
      <alignment horizontal="right"/>
    </xf>
    <xf numFmtId="5" fontId="2" fillId="0" borderId="7" xfId="0" applyNumberFormat="1" applyFont="1" applyFill="1" applyBorder="1" applyAlignment="1">
      <alignment horizontal="right"/>
    </xf>
    <xf numFmtId="5" fontId="2" fillId="0" borderId="21" xfId="0" applyNumberFormat="1" applyFont="1" applyFill="1" applyBorder="1" applyAlignment="1">
      <alignment horizontal="right"/>
    </xf>
    <xf numFmtId="5" fontId="21" fillId="0" borderId="1" xfId="0" applyNumberFormat="1" applyFont="1" applyFill="1" applyBorder="1" applyAlignment="1">
      <alignment horizontal="right"/>
    </xf>
    <xf numFmtId="5" fontId="21" fillId="0" borderId="11" xfId="0" applyNumberFormat="1" applyFont="1" applyFill="1" applyBorder="1" applyAlignment="1">
      <alignment horizontal="right"/>
    </xf>
    <xf numFmtId="5" fontId="2" fillId="0" borderId="16" xfId="2" applyNumberFormat="1" applyFont="1" applyFill="1" applyBorder="1" applyAlignment="1">
      <alignment horizontal="right"/>
    </xf>
    <xf numFmtId="5" fontId="2" fillId="0" borderId="9" xfId="2" applyNumberFormat="1" applyFont="1" applyFill="1" applyBorder="1" applyAlignment="1">
      <alignment horizontal="right"/>
    </xf>
    <xf numFmtId="5" fontId="21" fillId="0" borderId="24" xfId="0" applyNumberFormat="1" applyFont="1" applyFill="1" applyBorder="1" applyAlignment="1">
      <alignment horizontal="right"/>
    </xf>
    <xf numFmtId="5" fontId="2" fillId="0" borderId="8" xfId="2" applyNumberFormat="1" applyFont="1" applyFill="1" applyBorder="1" applyAlignment="1">
      <alignment horizontal="right"/>
    </xf>
    <xf numFmtId="5" fontId="2" fillId="0" borderId="7" xfId="1" applyNumberFormat="1" applyFont="1" applyFill="1" applyBorder="1" applyAlignment="1">
      <alignment horizontal="right"/>
    </xf>
    <xf numFmtId="5" fontId="2" fillId="0" borderId="21" xfId="1" applyNumberFormat="1" applyFont="1" applyFill="1" applyBorder="1" applyAlignment="1">
      <alignment horizontal="right"/>
    </xf>
    <xf numFmtId="5" fontId="2" fillId="0" borderId="22" xfId="2" applyNumberFormat="1" applyFont="1" applyFill="1" applyBorder="1" applyAlignment="1">
      <alignment horizontal="right"/>
    </xf>
    <xf numFmtId="5" fontId="2" fillId="0" borderId="0" xfId="2" applyNumberFormat="1" applyFont="1" applyFill="1" applyBorder="1" applyAlignment="1">
      <alignment horizontal="right"/>
    </xf>
    <xf numFmtId="5" fontId="2" fillId="0" borderId="9" xfId="0" applyNumberFormat="1" applyFont="1" applyFill="1" applyBorder="1" applyAlignment="1">
      <alignment horizontal="right"/>
    </xf>
    <xf numFmtId="5" fontId="2" fillId="0" borderId="22" xfId="0" applyNumberFormat="1" applyFont="1" applyFill="1" applyBorder="1" applyAlignment="1">
      <alignment horizontal="right"/>
    </xf>
    <xf numFmtId="5" fontId="2" fillId="0" borderId="7" xfId="0" applyNumberFormat="1" applyFont="1" applyFill="1" applyBorder="1" applyAlignment="1">
      <alignment horizontal="right" vertical="center"/>
    </xf>
    <xf numFmtId="5" fontId="2" fillId="0" borderId="21" xfId="0" applyNumberFormat="1" applyFont="1" applyFill="1" applyBorder="1" applyAlignment="1">
      <alignment horizontal="right" vertical="center"/>
    </xf>
    <xf numFmtId="5" fontId="21" fillId="0" borderId="11" xfId="0" applyNumberFormat="1" applyFont="1" applyFill="1" applyBorder="1" applyAlignment="1">
      <alignment horizontal="right" vertical="center"/>
    </xf>
    <xf numFmtId="5" fontId="2" fillId="0" borderId="7" xfId="0" applyNumberFormat="1" applyFont="1" applyFill="1" applyBorder="1" applyAlignment="1" applyProtection="1">
      <alignment horizontal="right"/>
      <protection locked="0"/>
    </xf>
    <xf numFmtId="5" fontId="2" fillId="0" borderId="21" xfId="0" applyNumberFormat="1" applyFont="1" applyFill="1" applyBorder="1" applyAlignment="1" applyProtection="1">
      <alignment horizontal="right"/>
      <protection locked="0"/>
    </xf>
    <xf numFmtId="5" fontId="2" fillId="0" borderId="9" xfId="0" applyNumberFormat="1" applyFont="1" applyFill="1" applyBorder="1" applyAlignment="1">
      <alignment horizontal="right" vertical="center"/>
    </xf>
    <xf numFmtId="5" fontId="2" fillId="0" borderId="22" xfId="0" applyNumberFormat="1" applyFont="1" applyFill="1" applyBorder="1" applyAlignment="1">
      <alignment horizontal="right" vertical="center"/>
    </xf>
    <xf numFmtId="5" fontId="21" fillId="0" borderId="11" xfId="0" applyNumberFormat="1" applyFont="1" applyFill="1" applyBorder="1" applyAlignment="1" applyProtection="1">
      <alignment horizontal="right"/>
      <protection locked="0"/>
    </xf>
    <xf numFmtId="5" fontId="21" fillId="0" borderId="24" xfId="0" applyNumberFormat="1" applyFont="1" applyFill="1" applyBorder="1" applyAlignment="1">
      <alignment horizontal="right" vertical="center"/>
    </xf>
    <xf numFmtId="5" fontId="2" fillId="0" borderId="10" xfId="0" applyNumberFormat="1" applyFont="1" applyFill="1" applyBorder="1" applyAlignment="1" applyProtection="1">
      <alignment horizontal="right"/>
      <protection locked="0"/>
    </xf>
    <xf numFmtId="5" fontId="2" fillId="0" borderId="0" xfId="0" applyNumberFormat="1" applyFont="1" applyFill="1" applyBorder="1" applyAlignment="1" applyProtection="1">
      <alignment horizontal="right"/>
      <protection locked="0"/>
    </xf>
    <xf numFmtId="5" fontId="2" fillId="0" borderId="9" xfId="0" applyNumberFormat="1" applyFont="1" applyFill="1" applyBorder="1" applyAlignment="1" applyProtection="1">
      <alignment horizontal="right"/>
      <protection locked="0"/>
    </xf>
    <xf numFmtId="5" fontId="2" fillId="0" borderId="2" xfId="0" applyNumberFormat="1" applyFont="1" applyFill="1" applyBorder="1" applyAlignment="1">
      <alignment horizontal="right"/>
    </xf>
    <xf numFmtId="5" fontId="2" fillId="0" borderId="0" xfId="0" applyNumberFormat="1" applyFont="1" applyFill="1" applyBorder="1" applyAlignment="1">
      <alignment horizontal="right" vertical="center"/>
    </xf>
    <xf numFmtId="5" fontId="2" fillId="0" borderId="25" xfId="0" applyNumberFormat="1" applyFont="1" applyFill="1" applyBorder="1" applyAlignment="1">
      <alignment horizontal="right"/>
    </xf>
    <xf numFmtId="5" fontId="2" fillId="0" borderId="26" xfId="0" applyNumberFormat="1" applyFont="1" applyFill="1" applyBorder="1" applyAlignment="1">
      <alignment horizontal="right"/>
    </xf>
    <xf numFmtId="5" fontId="2" fillId="0" borderId="0" xfId="2" applyNumberFormat="1" applyFont="1"/>
    <xf numFmtId="5" fontId="2" fillId="0" borderId="0" xfId="0" applyNumberFormat="1" applyFont="1" applyBorder="1"/>
    <xf numFmtId="5" fontId="2" fillId="0" borderId="0" xfId="2" applyNumberFormat="1" applyFont="1" applyFill="1" applyAlignment="1">
      <alignment horizontal="right"/>
    </xf>
    <xf numFmtId="5" fontId="22" fillId="0" borderId="0" xfId="2" applyNumberFormat="1" applyFont="1" applyFill="1" applyAlignment="1">
      <alignment horizontal="right"/>
    </xf>
    <xf numFmtId="5" fontId="22" fillId="0" borderId="0" xfId="2" applyNumberFormat="1" applyFont="1" applyFill="1" applyBorder="1" applyAlignment="1">
      <alignment horizontal="right"/>
    </xf>
    <xf numFmtId="5" fontId="2" fillId="0" borderId="0" xfId="2" applyNumberFormat="1" applyFont="1" applyAlignment="1">
      <alignment horizontal="right"/>
    </xf>
    <xf numFmtId="5" fontId="2" fillId="0" borderId="0" xfId="0" applyNumberFormat="1" applyFont="1" applyBorder="1" applyAlignment="1">
      <alignment horizontal="right"/>
    </xf>
    <xf numFmtId="5" fontId="2" fillId="0" borderId="2" xfId="0" applyNumberFormat="1" applyFont="1" applyBorder="1"/>
    <xf numFmtId="5" fontId="3" fillId="0" borderId="1" xfId="0" applyNumberFormat="1" applyFont="1" applyBorder="1"/>
    <xf numFmtId="5" fontId="2" fillId="0" borderId="0" xfId="2" applyNumberFormat="1" applyFont="1" applyBorder="1"/>
    <xf numFmtId="5" fontId="2" fillId="0" borderId="0" xfId="0" applyNumberFormat="1" applyFont="1" applyFill="1" applyBorder="1" applyAlignment="1"/>
    <xf numFmtId="5" fontId="3" fillId="0" borderId="1" xfId="0" applyNumberFormat="1" applyFont="1" applyFill="1" applyBorder="1" applyAlignment="1"/>
    <xf numFmtId="166" fontId="2" fillId="0" borderId="0" xfId="0" applyNumberFormat="1" applyFont="1" applyFill="1" applyAlignment="1">
      <alignment horizontal="right"/>
    </xf>
    <xf numFmtId="166" fontId="2" fillId="0" borderId="2" xfId="0" applyNumberFormat="1" applyFont="1" applyFill="1" applyBorder="1"/>
    <xf numFmtId="5" fontId="2" fillId="0" borderId="0" xfId="0" applyNumberFormat="1" applyFont="1" applyFill="1" applyAlignment="1">
      <alignment horizontal="right"/>
    </xf>
    <xf numFmtId="5" fontId="29" fillId="0" borderId="1" xfId="0" applyNumberFormat="1" applyFont="1" applyFill="1" applyBorder="1" applyAlignment="1">
      <alignment horizontal="right"/>
    </xf>
    <xf numFmtId="5" fontId="28" fillId="0" borderId="0" xfId="0" applyNumberFormat="1" applyFont="1" applyFill="1" applyAlignment="1">
      <alignment horizontal="right"/>
    </xf>
    <xf numFmtId="5" fontId="28" fillId="0" borderId="0" xfId="0" applyNumberFormat="1" applyFont="1" applyFill="1" applyBorder="1" applyAlignment="1">
      <alignment horizontal="right"/>
    </xf>
    <xf numFmtId="0" fontId="32" fillId="0" borderId="7" xfId="3" applyNumberFormat="1" applyFont="1" applyFill="1" applyBorder="1" applyAlignment="1" applyProtection="1">
      <protection locked="0"/>
    </xf>
    <xf numFmtId="0" fontId="3" fillId="0" borderId="4" xfId="3" applyFont="1" applyFill="1" applyBorder="1" applyAlignment="1" applyProtection="1">
      <alignment horizontal="center" wrapText="1"/>
      <protection locked="0"/>
    </xf>
    <xf numFmtId="0" fontId="3" fillId="0" borderId="1" xfId="3" applyFont="1" applyBorder="1"/>
    <xf numFmtId="0" fontId="3" fillId="0" borderId="12" xfId="3" applyFont="1" applyFill="1" applyBorder="1" applyAlignment="1">
      <alignment horizontal="center" wrapText="1"/>
    </xf>
    <xf numFmtId="0" fontId="3" fillId="0" borderId="1" xfId="3" applyFont="1" applyFill="1" applyBorder="1" applyAlignment="1"/>
    <xf numFmtId="5" fontId="9" fillId="0" borderId="0" xfId="0" applyNumberFormat="1" applyFont="1" applyFill="1" applyAlignment="1">
      <alignment horizontal="center"/>
    </xf>
    <xf numFmtId="5" fontId="27" fillId="0" borderId="0" xfId="0" applyNumberFormat="1" applyFont="1" applyFill="1" applyAlignment="1">
      <alignment horizontal="center"/>
    </xf>
    <xf numFmtId="5" fontId="3" fillId="0" borderId="0" xfId="0" applyNumberFormat="1" applyFont="1" applyFill="1"/>
    <xf numFmtId="0" fontId="9" fillId="0" borderId="0" xfId="0" applyFont="1" applyFill="1" applyBorder="1" applyAlignment="1">
      <alignment horizontal="left" vertical="center"/>
    </xf>
    <xf numFmtId="0" fontId="2" fillId="2" borderId="1" xfId="0" applyFont="1" applyFill="1" applyBorder="1"/>
    <xf numFmtId="0" fontId="2" fillId="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5" fontId="2" fillId="2" borderId="1" xfId="2" applyNumberFormat="1" applyFont="1" applyFill="1" applyBorder="1" applyAlignment="1">
      <alignment horizontal="right"/>
    </xf>
    <xf numFmtId="0" fontId="2" fillId="2" borderId="2" xfId="0" applyFont="1" applyFill="1" applyBorder="1"/>
    <xf numFmtId="0" fontId="9" fillId="2" borderId="2" xfId="0" applyFont="1" applyFill="1" applyBorder="1" applyAlignment="1">
      <alignment horizontal="center"/>
    </xf>
    <xf numFmtId="0" fontId="9" fillId="2" borderId="2" xfId="0" applyFont="1" applyFill="1" applyBorder="1"/>
    <xf numFmtId="0" fontId="9" fillId="2" borderId="2" xfId="0" applyFont="1" applyFill="1" applyBorder="1" applyAlignment="1">
      <alignment horizontal="left"/>
    </xf>
    <xf numFmtId="5" fontId="2" fillId="2" borderId="2" xfId="0" applyNumberFormat="1" applyFont="1" applyFill="1" applyBorder="1" applyAlignment="1">
      <alignment horizontal="right"/>
    </xf>
    <xf numFmtId="0" fontId="5" fillId="3" borderId="12" xfId="0" applyFont="1" applyFill="1" applyBorder="1" applyAlignment="1" applyProtection="1">
      <alignment horizontal="center" wrapText="1"/>
      <protection locked="0"/>
    </xf>
    <xf numFmtId="0" fontId="5" fillId="3" borderId="12" xfId="0" applyFont="1" applyFill="1" applyBorder="1" applyAlignment="1" applyProtection="1">
      <alignment horizontal="center" vertical="center" wrapText="1"/>
      <protection locked="0"/>
    </xf>
    <xf numFmtId="164" fontId="5" fillId="3" borderId="12" xfId="2" applyNumberFormat="1" applyFont="1" applyFill="1" applyBorder="1" applyAlignment="1" applyProtection="1">
      <alignment horizontal="center" vertical="center" wrapText="1"/>
      <protection locked="0"/>
    </xf>
    <xf numFmtId="0" fontId="11" fillId="3" borderId="1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center" wrapText="1"/>
    </xf>
    <xf numFmtId="164" fontId="5" fillId="3" borderId="4" xfId="2" applyNumberFormat="1" applyFont="1" applyFill="1" applyBorder="1" applyAlignment="1">
      <alignment horizontal="center" vertical="center" wrapText="1"/>
    </xf>
    <xf numFmtId="0" fontId="11" fillId="3" borderId="1" xfId="0" applyFont="1" applyFill="1" applyBorder="1"/>
    <xf numFmtId="0" fontId="11" fillId="3" borderId="1" xfId="0" applyFont="1" applyFill="1" applyBorder="1" applyAlignment="1">
      <alignment wrapText="1"/>
    </xf>
    <xf numFmtId="0" fontId="11" fillId="3" borderId="1" xfId="0" applyFont="1" applyFill="1" applyBorder="1" applyAlignment="1">
      <alignment horizontal="left"/>
    </xf>
    <xf numFmtId="5" fontId="11" fillId="3" borderId="1" xfId="2" applyNumberFormat="1" applyFont="1" applyFill="1" applyBorder="1" applyAlignment="1">
      <alignment horizontal="right"/>
    </xf>
    <xf numFmtId="0" fontId="11" fillId="3" borderId="2" xfId="0" applyFont="1" applyFill="1" applyBorder="1"/>
    <xf numFmtId="5" fontId="11" fillId="3" borderId="2" xfId="0" applyNumberFormat="1" applyFont="1" applyFill="1" applyBorder="1" applyAlignment="1">
      <alignment horizontal="right"/>
    </xf>
    <xf numFmtId="0" fontId="2" fillId="3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2" fillId="3" borderId="0" xfId="0" applyFont="1" applyFill="1" applyAlignment="1">
      <alignment wrapText="1"/>
    </xf>
    <xf numFmtId="0" fontId="2" fillId="3" borderId="0" xfId="0" applyFont="1" applyFill="1"/>
    <xf numFmtId="0" fontId="2" fillId="3" borderId="0" xfId="0" applyFont="1" applyFill="1" applyAlignment="1">
      <alignment horizontal="center"/>
    </xf>
    <xf numFmtId="5" fontId="2" fillId="3" borderId="0" xfId="2" applyNumberFormat="1" applyFont="1" applyFill="1" applyAlignment="1">
      <alignment horizontal="right"/>
    </xf>
    <xf numFmtId="5" fontId="2" fillId="3" borderId="0" xfId="0" applyNumberFormat="1" applyFont="1" applyFill="1" applyAlignment="1">
      <alignment horizontal="right"/>
    </xf>
    <xf numFmtId="0" fontId="3" fillId="3" borderId="0" xfId="0" applyFont="1" applyFill="1" applyBorder="1" applyAlignment="1">
      <alignment horizontal="left"/>
    </xf>
    <xf numFmtId="5" fontId="9" fillId="3" borderId="0" xfId="0" applyNumberFormat="1" applyFont="1" applyFill="1" applyAlignment="1">
      <alignment horizontal="center"/>
    </xf>
    <xf numFmtId="5" fontId="27" fillId="3" borderId="0" xfId="0" applyNumberFormat="1" applyFont="1" applyFill="1" applyAlignment="1">
      <alignment horizontal="center"/>
    </xf>
    <xf numFmtId="5" fontId="3" fillId="3" borderId="0" xfId="0" applyNumberFormat="1" applyFont="1" applyFill="1" applyBorder="1"/>
    <xf numFmtId="5" fontId="7" fillId="3" borderId="0" xfId="0" applyNumberFormat="1" applyFont="1" applyFill="1" applyBorder="1" applyAlignment="1">
      <alignment horizontal="center"/>
    </xf>
    <xf numFmtId="5" fontId="28" fillId="0" borderId="0" xfId="2" applyNumberFormat="1" applyFont="1" applyFill="1" applyAlignment="1">
      <alignment horizontal="right"/>
    </xf>
    <xf numFmtId="5" fontId="30" fillId="0" borderId="1" xfId="0" applyNumberFormat="1" applyFont="1" applyFill="1" applyBorder="1" applyAlignment="1">
      <alignment horizontal="center"/>
    </xf>
    <xf numFmtId="5" fontId="7" fillId="0" borderId="1" xfId="0" applyNumberFormat="1" applyFont="1" applyFill="1" applyBorder="1" applyAlignment="1">
      <alignment horizontal="center"/>
    </xf>
    <xf numFmtId="5" fontId="9" fillId="0" borderId="2" xfId="0" applyNumberFormat="1" applyFont="1" applyFill="1" applyBorder="1" applyAlignment="1">
      <alignment horizontal="center"/>
    </xf>
    <xf numFmtId="5" fontId="9" fillId="0" borderId="0" xfId="0" applyNumberFormat="1" applyFont="1" applyFill="1" applyBorder="1" applyAlignment="1">
      <alignment horizontal="center"/>
    </xf>
    <xf numFmtId="0" fontId="29" fillId="0" borderId="1" xfId="0" applyFont="1" applyFill="1" applyBorder="1"/>
  </cellXfs>
  <cellStyles count="4">
    <cellStyle name="Comma" xfId="1" builtinId="3"/>
    <cellStyle name="Currency" xfId="2" builtinId="4"/>
    <cellStyle name="Hyperlink" xfId="3" builtinId="8"/>
    <cellStyle name="Normal" xfId="0" builtinId="0"/>
  </cellStyles>
  <dxfs count="3755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z val="12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z val="12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z val="1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z val="12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z val="12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z val="12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theme="0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indent="0" justifyLastLine="0" shrinkToFit="0" readingOrder="0"/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solid">
          <fgColor indexed="64"/>
          <bgColor theme="7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solid">
          <fgColor indexed="64"/>
          <bgColor theme="7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solid">
          <fgColor indexed="64"/>
          <bgColor theme="7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solid">
          <fgColor indexed="64"/>
          <bgColor theme="7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solid">
          <fgColor indexed="64"/>
          <bgColor theme="7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solid">
          <fgColor indexed="64"/>
          <bgColor theme="7" tint="0.79998168889431442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solid">
          <fgColor indexed="64"/>
          <bgColor theme="7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&quot;$&quot;#,##0"/>
      <fill>
        <patternFill patternType="solid">
          <fgColor indexed="64"/>
          <bgColor theme="7" tint="0.79998168889431442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7" tint="0.79998168889431442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</font>
      <numFmt numFmtId="164" formatCode="_(&quot;$&quot;* #,##0_);_(&quot;$&quot;* \(#,##0\);_(&quot;$&quot;* &quot;-&quot;??_);_(@_)"/>
      <fill>
        <patternFill patternType="solid">
          <fgColor indexed="64"/>
          <bgColor theme="7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6" formatCode="&quot;$&quot;#,##0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_(* #,##0_);_(* \(#,##0\);_(* &quot;-&quot;??_);_(@_)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superscript"/>
        <sz val="12"/>
        <color theme="0"/>
        <name val="Arial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/>
        <right/>
        <top style="thin">
          <color indexed="64"/>
        </top>
        <bottom/>
        <vertical/>
        <horizontal/>
      </border>
    </dxf>
    <dxf>
      <border>
        <top style="thin">
          <color indexed="64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</font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9" formatCode="&quot;$&quot;#,##0_);\(&quot;$&quot;#,##0\)"/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</dxf>
    <dxf>
      <border diagonalUp="0" diagonalDown="0">
        <left style="thin">
          <color auto="1"/>
        </left>
        <right style="thin">
          <color auto="1"/>
        </right>
        <top style="thin">
          <color indexed="64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solid">
          <fgColor theme="0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solid">
          <fgColor theme="0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solid">
          <fgColor theme="0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solid">
          <fgColor theme="0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solid">
          <fgColor theme="0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solid">
          <fgColor theme="0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theme="0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0"/>
          <bgColor auto="1"/>
        </patternFill>
      </fill>
      <border diagonalUp="0" diagonalDown="0"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theme="0"/>
          <bgColor auto="1"/>
        </patternFill>
      </fill>
      <alignment horizontal="left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0"/>
          <bgColor auto="1"/>
        </patternFill>
      </fill>
      <border diagonalUp="0" diagonalDown="0"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theme="0"/>
          <bgColor auto="1"/>
        </patternFill>
      </fill>
      <border diagonalUp="0" diagonalDown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0"/>
          <bgColor auto="1"/>
        </patternFill>
      </fill>
      <border diagonalUp="0" diagonalDown="0"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theme="0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0"/>
          <bgColor auto="1"/>
        </patternFill>
      </fill>
      <border diagonalUp="0" diagonalDown="0"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theme="0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0"/>
          <bgColor auto="1"/>
        </patternFill>
      </fill>
      <border diagonalUp="0" diagonalDown="0">
        <top style="thin">
          <color indexed="64"/>
        </top>
        <bottom style="thin">
          <color indexed="64"/>
        </bottom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0"/>
          <bgColor auto="1"/>
        </patternFill>
      </fill>
      <border diagonalUp="0" diagonalDown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0"/>
          <bgColor auto="1"/>
        </patternFill>
      </fill>
      <border diagonalUp="0" diagonalDown="0">
        <left/>
        <right/>
        <top style="thin">
          <color indexed="64"/>
        </top>
        <bottom style="thin">
          <color indexed="64"/>
        </bottom>
        <vertical/>
        <horizontal style="thin">
          <color indexed="64"/>
        </horizontal>
      </border>
    </dxf>
    <dxf>
      <border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0"/>
          <bgColor auto="1"/>
        </patternFill>
      </fill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theme="0"/>
          <bgColor auto="1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solid">
          <fgColor indexed="64"/>
          <bgColor theme="7" tint="0.79998168889431442"/>
        </patternFill>
      </fill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solid">
          <fgColor indexed="64"/>
          <bgColor theme="7" tint="0.79998168889431442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9" formatCode="&quot;$&quot;#,##0_);\(&quot;$&quot;#,##0\)"/>
      <alignment horizontal="right" vertical="bottom" textRotation="0" wrapText="0" indent="0" justifyLastLine="0" shrinkToFit="0" readingOrder="0"/>
    </dxf>
    <dxf>
      <numFmt numFmtId="9" formatCode="&quot;$&quot;#,##0_);\(&quot;$&quot;#,##0\)"/>
      <alignment horizontal="right" vertical="bottom" textRotation="0" wrapText="0" indent="0" justifyLastLine="0" shrinkToFit="0" readingOrder="0"/>
    </dxf>
    <dxf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</border>
    </dxf>
    <dxf>
      <font>
        <b/>
      </font>
      <fill>
        <patternFill patternType="none">
          <fgColor indexed="64"/>
          <bgColor auto="1"/>
        </patternFill>
      </fill>
    </dxf>
    <dxf>
      <border outline="0">
        <right style="thin">
          <color indexed="64"/>
        </right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  <protection locked="0" hidden="0"/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hair">
          <color theme="0" tint="-0.499984740745262"/>
        </top>
        <bottom style="hair">
          <color theme="0" tint="-0.499984740745262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 style="hair">
          <color theme="0" tint="-0.499984740745262"/>
        </left>
        <right style="hair">
          <color theme="0" tint="-0.499984740745262"/>
        </right>
        <top style="thin">
          <color auto="1"/>
        </top>
        <bottom style="thin">
          <color auto="1"/>
        </bottom>
      </border>
    </dxf>
    <dxf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>
        <right style="hair">
          <color theme="0" tint="-0.499984740745262"/>
        </right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outline="0">
        <left style="hair">
          <color theme="0" tint="-0.499984740745262"/>
        </left>
        <right style="hair">
          <color theme="0" tint="-0.499984740745262"/>
        </right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>
        <left style="hair">
          <color theme="0" tint="-0.499984740745262"/>
        </left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>
        <right style="hair">
          <color theme="0" tint="-0.499984740745262"/>
        </right>
      </border>
    </dxf>
    <dxf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outline="0">
        <left style="hair">
          <color theme="0" tint="-0.499984740745262"/>
        </left>
        <right style="hair">
          <color theme="0" tint="-0.499984740745262"/>
        </right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>
        <left style="hair">
          <color theme="0" tint="-0.499984740745262"/>
        </left>
      </border>
    </dxf>
    <dxf>
      <numFmt numFmtId="166" formatCode="&quot;$&quot;#,##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border outline="0">
        <left style="hair">
          <color theme="0" tint="-0.499984740745262"/>
        </left>
        <right style="hair">
          <color theme="0" tint="-0.499984740745262"/>
        </right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>
        <left style="hair">
          <color theme="0" tint="-0.499984740745262"/>
        </left>
        <right style="hair">
          <color theme="0" tint="-0.499984740745262"/>
        </right>
      </border>
    </dxf>
    <dxf>
      <numFmt numFmtId="9" formatCode="&quot;$&quot;#,##0_);\(&quot;$&quot;#,##0\)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>
        <right style="hair">
          <color theme="0" tint="-0.499984740745262"/>
        </right>
      </border>
    </dxf>
    <dxf>
      <fill>
        <patternFill patternType="none">
          <fgColor indexed="64"/>
          <bgColor auto="1"/>
        </patternFill>
      </fill>
      <border outline="0">
        <right style="hair">
          <color theme="0" tint="-0.499984740745262"/>
        </right>
      </border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fill>
        <patternFill patternType="none">
          <fgColor indexed="64"/>
          <bgColor auto="1"/>
        </patternFill>
      </fill>
    </dxf>
    <dxf>
      <border outline="0">
        <right style="thin">
          <color auto="1"/>
        </right>
        <top style="thin">
          <color indexed="64"/>
        </top>
      </border>
    </dxf>
    <dxf>
      <fill>
        <patternFill patternType="none">
          <fgColor indexed="64"/>
          <bgColor auto="1"/>
        </patternFill>
      </fill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6</xdr:row>
      <xdr:rowOff>144133</xdr:rowOff>
    </xdr:from>
    <xdr:to>
      <xdr:col>0</xdr:col>
      <xdr:colOff>5849257</xdr:colOff>
      <xdr:row>22</xdr:row>
      <xdr:rowOff>117120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2430133"/>
          <a:ext cx="3200400" cy="30209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112" name="localgeneralfund" displayName="localgeneralfund" ref="A2:O9" totalsRowCount="1" headerRowDxfId="3754" dataDxfId="3752" totalsRowDxfId="3750" headerRowBorderDxfId="3753" tableBorderDxfId="3751" totalsRowBorderDxfId="3749">
  <autoFilter ref="A2:O8"/>
  <tableColumns count="15">
    <tableColumn id="1" name="Program Category_x000a_ and Fund" totalsRowLabel="Total Local Agencies-General Fund" dataDxfId="3748" totalsRowDxfId="138"/>
    <tableColumn id="2" name="Appropriation_x000a_Number" totalsRowLabel=" N/A " dataDxfId="3747" totalsRowDxfId="137"/>
    <tableColumn id="3" name="Legal_x000a_Reference_x000a_(Ch./Year)" totalsRowLabel=" N/A " dataDxfId="3746" totalsRowDxfId="136"/>
    <tableColumn id="4" name="Fiscal Year of_x000a_Claims Paid" totalsRowLabel=" N/A " dataDxfId="3745" totalsRowDxfId="135"/>
    <tableColumn id="5" name="Reversion Date" totalsRowLabel=" N/A " dataDxfId="3744" totalsRowDxfId="134"/>
    <tableColumn id="6" name="Original_x000a_Appropriation_x000a_Amount" totalsRowFunction="sum" dataDxfId="3743" totalsRowDxfId="133"/>
    <tableColumn id="7" name="Appropriation Balances1" totalsRowFunction="sum" dataDxfId="3742" totalsRowDxfId="132"/>
    <tableColumn id="8" name="Comment: As of 8/31/2022, except for the Budget Act of 2023 appropriations as of 7/1/2023." totalsRowLabel=" N/A " dataDxfId="3741" totalsRowDxfId="131" dataCellStyle="Currency"/>
    <tableColumn id="9" name="Budget_x000a_Adjustments" totalsRowFunction="sum" dataDxfId="3740" totalsRowDxfId="130"/>
    <tableColumn id="10" name="N/A" totalsRowLabel=" N/A " dataDxfId="3739" totalsRowDxfId="129" dataCellStyle="Currency"/>
    <tableColumn id="11" name="Add: Receipts_x000a_and Recovered Amounts" totalsRowFunction="sum" dataDxfId="3738" totalsRowDxfId="128"/>
    <tableColumn id="12" name="Less: Mandated Program Payments, Offsets,_x000a_and Interest_x000a_(see Schedule A1)" totalsRowFunction="sum" dataDxfId="3737" totalsRowDxfId="127" dataCellStyle="Currency"/>
    <tableColumn id="13" name="N/A2" totalsRowLabel=" N/A " dataDxfId="3736" totalsRowDxfId="126" dataCellStyle="Currency"/>
    <tableColumn id="14" name="Less: Appropriations for Reversion" totalsRowFunction="sum" dataDxfId="3735" totalsRowDxfId="125"/>
    <tableColumn id="15" name="Appropriation Balances_x000a_as of 8/31/2023" totalsRowFunction="sum" dataDxfId="3734" totalsRowDxfId="124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: Summary of State-Mandated Program Appropriations, Receipts, and Payments. As of August 31, 2023. For Local Agencies-General Fund."/>
    </ext>
  </extLst>
</table>
</file>

<file path=xl/tables/table10.xml><?xml version="1.0" encoding="utf-8"?>
<table xmlns="http://schemas.openxmlformats.org/spreadsheetml/2006/main" id="108" name="localpest22" displayName="localpest22" ref="A76:I81" totalsRowCount="1" headerRowDxfId="3502" dataDxfId="3500" totalsRowDxfId="3499" headerRowBorderDxfId="3501" totalsRowBorderDxfId="3498" dataCellStyle="Currency">
  <autoFilter ref="A76:I80"/>
  <tableColumns count="9">
    <tableColumn id="1" name="Program Category_x000a_and Type of Payment" totalsRowLabel="0106-8885-2023-295-98 Total" dataDxfId="3497" totalsRowDxfId="3496"/>
    <tableColumn id="2" name="Fiscal _x000a_Year" totalsRowLabel="N/A" dataDxfId="3495" totalsRowDxfId="3494"/>
    <tableColumn id="3" name="Appropriation _x000a_Number" totalsRowLabel="N/A" dataDxfId="3493" totalsRowDxfId="3492"/>
    <tableColumn id="4" name="Program _x000a_Name" totalsRowLabel="N/A" dataDxfId="3491" totalsRowDxfId="3490"/>
    <tableColumn id="5" name="Legal_x000a_ Reference _x000a_(Ch./Year)" totalsRowLabel="N/A" dataDxfId="3489" totalsRowDxfId="3488"/>
    <tableColumn id="6" name="Program _x000a_Number" totalsRowLabel="N/A" dataDxfId="3487" totalsRowDxfId="3486"/>
    <tableColumn id="7" name="Program Payments and Offsets" totalsRowFunction="sum" dataDxfId="3485" totalsRowDxfId="3484" dataCellStyle="Currency"/>
    <tableColumn id="8" name="Interest_x000a_Payments and Offsets" totalsRowFunction="sum" dataDxfId="3483" totalsRowDxfId="3482" dataCellStyle="Currency"/>
    <tableColumn id="9" name="Total _x000a_Payments" totalsRowFunction="sum" dataDxfId="3481" totalsRowDxfId="348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1: Detail of State-Mandated Program Payments by Fiscal Year. As of August 31, 2023. Local Agencies-Pesticide."/>
    </ext>
  </extLst>
</table>
</file>

<file path=xl/tables/table100.xml><?xml version="1.0" encoding="utf-8"?>
<table xmlns="http://schemas.openxmlformats.org/spreadsheetml/2006/main" id="85" name="college200506" displayName="college200506" ref="A87:L91" totalsRowCount="1" headerRowDxfId="934" dataDxfId="932" totalsRowDxfId="930" headerRowBorderDxfId="933" tableBorderDxfId="931" totalsRowBorderDxfId="929" headerRowCellStyle="Currency">
  <autoFilter ref="A87:L90"/>
  <tableColumns count="12">
    <tableColumn id="1" name="Fiscal_x000a_Year" totalsRowLabel="2005-06 Total" dataDxfId="928" totalsRowDxfId="927"/>
    <tableColumn id="2" name="Program_x000a_Name" totalsRowLabel="N/A" dataDxfId="926" totalsRowDxfId="925"/>
    <tableColumn id="3" name="Legal_x000a_Reference_x000a_(Ch./Year)" totalsRowLabel="N/A" dataDxfId="924" totalsRowDxfId="923"/>
    <tableColumn id="4" name="Program _x000a_Number" totalsRowLabel="N/A" dataDxfId="922" totalsRowDxfId="921"/>
    <tableColumn id="5" name="Program_x000a_Costs" totalsRowFunction="sum" dataDxfId="920" totalsRowDxfId="919"/>
    <tableColumn id="6" name="Less: Net Payments and Offsets2" totalsRowFunction="sum" dataDxfId="918" totalsRowDxfId="917"/>
    <tableColumn id="7" name="Comment1" totalsRowLabel="N/A" dataDxfId="916" totalsRowDxfId="915"/>
    <tableColumn id="8" name="Accounts Payable_x000a_Balance" totalsRowFunction="sum" dataDxfId="914" totalsRowDxfId="913"/>
    <tableColumn id="9" name="Established_x000a_Accounts Receivable" totalsRowFunction="sum" dataDxfId="912" totalsRowDxfId="911"/>
    <tableColumn id="10" name="Less: Recovered Amount" totalsRowFunction="sum" dataDxfId="910" totalsRowDxfId="909"/>
    <tableColumn id="11" name="Accounts Receivable_x000a_Balance" totalsRowFunction="sum" dataDxfId="908" totalsRowDxfId="907"/>
    <tableColumn id="12" name="Net_x000a_Balance" totalsRowFunction="sum" dataDxfId="906" totalsRowDxfId="90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101.xml><?xml version="1.0" encoding="utf-8"?>
<table xmlns="http://schemas.openxmlformats.org/spreadsheetml/2006/main" id="86" name="college200304" displayName="college200304" ref="A93:L95" totalsRowCount="1" headerRowDxfId="904" dataDxfId="902" totalsRowDxfId="900" headerRowBorderDxfId="903" tableBorderDxfId="901" totalsRowBorderDxfId="899" headerRowCellStyle="Currency">
  <autoFilter ref="A93:L94"/>
  <tableColumns count="12">
    <tableColumn id="1" name="Fiscal_x000a_Year" totalsRowLabel="2003-04 Total" dataDxfId="898" totalsRowDxfId="897"/>
    <tableColumn id="2" name="Program_x000a_Name" totalsRowLabel="N/A" dataDxfId="896" totalsRowDxfId="895"/>
    <tableColumn id="3" name="Legal_x000a_Reference_x000a_(Ch./Year)" totalsRowLabel="N/A" dataDxfId="894" totalsRowDxfId="893"/>
    <tableColumn id="4" name="Program _x000a_Number" totalsRowLabel="N/A" dataDxfId="892" totalsRowDxfId="891"/>
    <tableColumn id="5" name="Program_x000a_Costs" totalsRowFunction="sum" dataDxfId="890" totalsRowDxfId="889"/>
    <tableColumn id="6" name="Less: Net Payments and Offsets2" totalsRowFunction="sum" dataDxfId="888" totalsRowDxfId="887"/>
    <tableColumn id="7" name="Comment1" totalsRowLabel="N/A" dataDxfId="886" totalsRowDxfId="885"/>
    <tableColumn id="8" name="Accounts Payable_x000a_Balance" totalsRowFunction="sum" dataDxfId="884" totalsRowDxfId="883"/>
    <tableColumn id="9" name="Established_x000a_Accounts Receivable" totalsRowFunction="sum" dataDxfId="882" totalsRowDxfId="881"/>
    <tableColumn id="10" name="Less: Recovered Amount" totalsRowFunction="sum" dataDxfId="880" totalsRowDxfId="879"/>
    <tableColumn id="11" name="Accounts Receivable_x000a_Balance" totalsRowFunction="sum" dataDxfId="878" totalsRowDxfId="877"/>
    <tableColumn id="12" name="Net_x000a_Balance" totalsRowFunction="sum" dataDxfId="876" totalsRowDxfId="87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102.xml><?xml version="1.0" encoding="utf-8"?>
<table xmlns="http://schemas.openxmlformats.org/spreadsheetml/2006/main" id="87" name="college200203" displayName="college200203" ref="A97:L101" totalsRowCount="1" headerRowDxfId="874" dataDxfId="872" totalsRowDxfId="870" headerRowBorderDxfId="873" tableBorderDxfId="871" totalsRowBorderDxfId="869" headerRowCellStyle="Currency">
  <autoFilter ref="A97:L100"/>
  <tableColumns count="12">
    <tableColumn id="1" name="Fiscal_x000a_Year" totalsRowLabel="2002-03 Total" dataDxfId="868" totalsRowDxfId="867"/>
    <tableColumn id="2" name="Program_x000a_Name" totalsRowLabel="N/A" dataDxfId="866" totalsRowDxfId="865"/>
    <tableColumn id="3" name="Legal_x000a_Reference_x000a_(Ch./Year)" totalsRowLabel="N/A" dataDxfId="864" totalsRowDxfId="863"/>
    <tableColumn id="4" name="Program _x000a_Number" totalsRowLabel="N/A" dataDxfId="862" totalsRowDxfId="861"/>
    <tableColumn id="5" name="Program_x000a_Costs" totalsRowFunction="sum" dataDxfId="860" totalsRowDxfId="859"/>
    <tableColumn id="6" name="Less: Net Payments and Offsets2" totalsRowFunction="sum" dataDxfId="858" totalsRowDxfId="857"/>
    <tableColumn id="7" name="Comment1" totalsRowLabel="N/A" dataDxfId="856" totalsRowDxfId="855"/>
    <tableColumn id="8" name="Accounts Payable_x000a_Balance" totalsRowFunction="sum" dataDxfId="854" totalsRowDxfId="853"/>
    <tableColumn id="9" name="Established_x000a_Accounts Receivable" totalsRowFunction="sum" dataDxfId="852" totalsRowDxfId="851"/>
    <tableColumn id="10" name="Less: Recovered Amount" totalsRowFunction="sum" dataDxfId="850" totalsRowDxfId="849"/>
    <tableColumn id="11" name="Accounts Receivable_x000a_Balance" totalsRowFunction="sum" dataDxfId="848" totalsRowDxfId="847"/>
    <tableColumn id="12" name="Net_x000a_Balance" totalsRowFunction="sum" dataDxfId="846" totalsRowDxfId="84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103.xml><?xml version="1.0" encoding="utf-8"?>
<table xmlns="http://schemas.openxmlformats.org/spreadsheetml/2006/main" id="88" name="college200102" displayName="college200102" ref="A103:L107" totalsRowCount="1" headerRowDxfId="844" dataDxfId="842" totalsRowDxfId="840" headerRowBorderDxfId="843" tableBorderDxfId="841" totalsRowBorderDxfId="839" headerRowCellStyle="Currency">
  <autoFilter ref="A103:L106"/>
  <tableColumns count="12">
    <tableColumn id="1" name="Fiscal_x000a_Year" totalsRowLabel="2001-02 Total" dataDxfId="838" totalsRowDxfId="837"/>
    <tableColumn id="2" name="Program_x000a_Name" totalsRowLabel="N/A" dataDxfId="836" totalsRowDxfId="835"/>
    <tableColumn id="3" name="Legal_x000a_Reference_x000a_(Ch./Year)" totalsRowLabel="N/A" dataDxfId="834" totalsRowDxfId="833"/>
    <tableColumn id="4" name="Program _x000a_Number" totalsRowLabel="N/A" dataDxfId="832" totalsRowDxfId="831"/>
    <tableColumn id="5" name="Program_x000a_Costs" totalsRowFunction="sum" dataDxfId="830" totalsRowDxfId="829"/>
    <tableColumn id="6" name="Less: Net Payments and Offsets2" totalsRowFunction="sum" dataDxfId="828" totalsRowDxfId="827"/>
    <tableColumn id="7" name="Comment1" totalsRowLabel="N/A" dataDxfId="826" totalsRowDxfId="825"/>
    <tableColumn id="8" name="Accounts Payable_x000a_Balance" totalsRowFunction="sum" dataDxfId="824" totalsRowDxfId="823"/>
    <tableColumn id="9" name="Established_x000a_Accounts Receivable" totalsRowFunction="sum" dataDxfId="822" totalsRowDxfId="821"/>
    <tableColumn id="10" name="Less: Recovered Amount" totalsRowFunction="sum" dataDxfId="820" totalsRowDxfId="819"/>
    <tableColumn id="11" name="Accounts Receivable_x000a_Balance" totalsRowFunction="sum" dataDxfId="818" totalsRowDxfId="817"/>
    <tableColumn id="12" name="Net_x000a_Balance" totalsRowFunction="sum" dataDxfId="816" totalsRowDxfId="81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104.xml><?xml version="1.0" encoding="utf-8"?>
<table xmlns="http://schemas.openxmlformats.org/spreadsheetml/2006/main" id="89" name="college200001" displayName="college200001" ref="A109:L111" totalsRowCount="1" headerRowDxfId="814" dataDxfId="812" totalsRowDxfId="810" headerRowBorderDxfId="813" tableBorderDxfId="811" totalsRowBorderDxfId="809" headerRowCellStyle="Currency">
  <autoFilter ref="A109:L110"/>
  <tableColumns count="12">
    <tableColumn id="1" name="Fiscal_x000a_Year" totalsRowLabel="2000-01 Total" dataDxfId="808" totalsRowDxfId="807"/>
    <tableColumn id="2" name="Program_x000a_Name" totalsRowLabel="N/A" dataDxfId="806" totalsRowDxfId="805"/>
    <tableColumn id="3" name="Legal_x000a_Reference_x000a_(Ch./Year)" totalsRowLabel="N/A" dataDxfId="804" totalsRowDxfId="803"/>
    <tableColumn id="4" name="Program _x000a_Number" totalsRowLabel="N/A" dataDxfId="802" totalsRowDxfId="801"/>
    <tableColumn id="5" name="Program_x000a_Costs" totalsRowFunction="sum" dataDxfId="800" totalsRowDxfId="799"/>
    <tableColumn id="6" name="Less: Net Payments and Offsets2" totalsRowFunction="sum" dataDxfId="798" totalsRowDxfId="797"/>
    <tableColumn id="7" name="Comment1" totalsRowLabel="N/A" dataDxfId="796" totalsRowDxfId="795"/>
    <tableColumn id="8" name="Accounts Payable_x000a_Balance" totalsRowFunction="sum" dataDxfId="794" totalsRowDxfId="793"/>
    <tableColumn id="9" name="Established_x000a_Accounts Receivable" totalsRowFunction="sum" dataDxfId="792" totalsRowDxfId="791"/>
    <tableColumn id="10" name="Less: Recovered Amount" totalsRowFunction="sum" dataDxfId="790" totalsRowDxfId="789"/>
    <tableColumn id="11" name="Accounts Receivable_x000a_Balance" totalsRowFunction="sum" dataDxfId="788" totalsRowDxfId="787"/>
    <tableColumn id="12" name="Net_x000a_Balance" totalsRowFunction="sum" dataDxfId="786" totalsRowDxfId="78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105.xml><?xml version="1.0" encoding="utf-8"?>
<table xmlns="http://schemas.openxmlformats.org/spreadsheetml/2006/main" id="90" name="college199900" displayName="college199900" ref="A113:L115" totalsRowCount="1" headerRowDxfId="784" dataDxfId="782" totalsRowDxfId="780" headerRowBorderDxfId="783" tableBorderDxfId="781" totalsRowBorderDxfId="779" headerRowCellStyle="Currency">
  <autoFilter ref="A113:L114"/>
  <tableColumns count="12">
    <tableColumn id="1" name="Fiscal_x000a_Year" totalsRowLabel="1999-00 Total" dataDxfId="778" totalsRowDxfId="777"/>
    <tableColumn id="2" name="Program_x000a_Name" totalsRowLabel="N/A" dataDxfId="776" totalsRowDxfId="775"/>
    <tableColumn id="3" name="Legal_x000a_Reference_x000a_(Ch./Year)" totalsRowLabel="N/A" dataDxfId="774" totalsRowDxfId="773"/>
    <tableColumn id="4" name="Program _x000a_Number" totalsRowLabel="N/A" dataDxfId="772" totalsRowDxfId="771"/>
    <tableColumn id="5" name="Program_x000a_Costs" totalsRowFunction="sum" dataDxfId="770" totalsRowDxfId="769"/>
    <tableColumn id="6" name="Less: Net Payments and Offsets2" totalsRowFunction="sum" dataDxfId="768" totalsRowDxfId="767"/>
    <tableColumn id="7" name="Comment1" totalsRowLabel="N/A" dataDxfId="766" totalsRowDxfId="765"/>
    <tableColumn id="8" name="Accounts Payable_x000a_Balance" totalsRowFunction="sum" dataDxfId="764" totalsRowDxfId="763"/>
    <tableColumn id="9" name="Established_x000a_Accounts Receivable" totalsRowFunction="sum" dataDxfId="762" totalsRowDxfId="761"/>
    <tableColumn id="10" name="Less: Recovered Amount" totalsRowFunction="sum" dataDxfId="760" totalsRowDxfId="759"/>
    <tableColumn id="11" name="Accounts Receivable_x000a_Balance" totalsRowFunction="sum" dataDxfId="758" totalsRowDxfId="757"/>
    <tableColumn id="12" name="Net_x000a_Balance" totalsRowFunction="sum" dataDxfId="756" totalsRowDxfId="75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106.xml><?xml version="1.0" encoding="utf-8"?>
<table xmlns="http://schemas.openxmlformats.org/spreadsheetml/2006/main" id="91" name="college199899" displayName="college199899" ref="A117:L119" totalsRowCount="1" headerRowDxfId="754" dataDxfId="752" totalsRowDxfId="750" headerRowBorderDxfId="753" tableBorderDxfId="751" totalsRowBorderDxfId="749" headerRowCellStyle="Currency">
  <autoFilter ref="A117:L118"/>
  <tableColumns count="12">
    <tableColumn id="1" name="Fiscal_x000a_Year" totalsRowLabel="1998-99 Total" dataDxfId="748" totalsRowDxfId="747"/>
    <tableColumn id="2" name="Program_x000a_Name" totalsRowLabel="N/A" dataDxfId="746" totalsRowDxfId="745"/>
    <tableColumn id="3" name="Legal_x000a_Reference_x000a_(Ch./Year)" totalsRowLabel="N/A" dataDxfId="744" totalsRowDxfId="743"/>
    <tableColumn id="4" name="Program _x000a_Number" totalsRowLabel="N/A" dataDxfId="742" totalsRowDxfId="741"/>
    <tableColumn id="5" name="Program_x000a_Costs" totalsRowFunction="sum" dataDxfId="740" totalsRowDxfId="739"/>
    <tableColumn id="6" name="Less: Net Payments and Offsets2" totalsRowFunction="sum" dataDxfId="738" totalsRowDxfId="737"/>
    <tableColumn id="7" name="Comment1" totalsRowLabel="N/A" dataDxfId="736" totalsRowDxfId="735"/>
    <tableColumn id="8" name="Accounts Payable_x000a_Balance" totalsRowFunction="sum" dataDxfId="734" totalsRowDxfId="733"/>
    <tableColumn id="9" name="Established_x000a_Accounts Receivable" totalsRowFunction="sum" dataDxfId="732" totalsRowDxfId="731"/>
    <tableColumn id="10" name="Less: Recovered Amount" totalsRowFunction="sum" dataDxfId="730" totalsRowDxfId="729"/>
    <tableColumn id="11" name="Accounts Receivable_x000a_Balance" totalsRowFunction="sum" dataDxfId="728" totalsRowDxfId="727"/>
    <tableColumn id="12" name="Net_x000a_Balance" totalsRowFunction="sum" dataDxfId="726" totalsRowDxfId="72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107.xml><?xml version="1.0" encoding="utf-8"?>
<table xmlns="http://schemas.openxmlformats.org/spreadsheetml/2006/main" id="92" name="collegegrandtotal" displayName="collegegrandtotal" ref="A121:L138" totalsRowCount="1" headerRowDxfId="724" dataDxfId="722" totalsRowDxfId="720" headerRowBorderDxfId="723" tableBorderDxfId="721" totalsRowBorderDxfId="719" headerRowCellStyle="Currency">
  <autoFilter ref="A121:L137"/>
  <tableColumns count="12">
    <tableColumn id="1" name="Fiscal_x000a_Year" totalsRowLabel="Total Community College Districts" dataDxfId="718" totalsRowDxfId="717"/>
    <tableColumn id="2" name="Program_x000a_Name" totalsRowLabel="N/A" dataDxfId="716" totalsRowDxfId="715"/>
    <tableColumn id="3" name="Legal_x000a_Reference_x000a_(Ch./Year)" totalsRowLabel="N/A" dataDxfId="714" totalsRowDxfId="713"/>
    <tableColumn id="4" name="Program _x000a_Number" totalsRowLabel="N/A" dataDxfId="712" totalsRowDxfId="711"/>
    <tableColumn id="5" name="Program_x000a_Costs" totalsRowFunction="sum" dataDxfId="710" totalsRowDxfId="709"/>
    <tableColumn id="6" name="Less: Net Payments and Offsets2" totalsRowFunction="sum" dataDxfId="708" totalsRowDxfId="707"/>
    <tableColumn id="7" name="Comment1" totalsRowLabel="N/A" dataDxfId="706" totalsRowDxfId="705"/>
    <tableColumn id="8" name="Accounts Payable_x000a_Balance" totalsRowFunction="sum" dataDxfId="704" totalsRowDxfId="703"/>
    <tableColumn id="9" name="Established_x000a_Accounts Receivable" totalsRowFunction="sum" dataDxfId="702" totalsRowDxfId="701"/>
    <tableColumn id="10" name="Less: Recovered Amount" totalsRowFunction="sum" dataDxfId="700" totalsRowDxfId="699"/>
    <tableColumn id="11" name="Accounts Receivable_x000a_Balance" totalsRowFunction="sum" dataDxfId="698" totalsRowDxfId="697"/>
    <tableColumn id="12" name="Net_x000a_Balance" totalsRowFunction="sum" dataDxfId="696" totalsRowDxfId="69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 grand totals."/>
    </ext>
  </extLst>
</table>
</file>

<file path=xl/tables/table108.xml><?xml version="1.0" encoding="utf-8"?>
<table xmlns="http://schemas.openxmlformats.org/spreadsheetml/2006/main" id="93" name="totalfunded" displayName="totalfunded" ref="A140:L144" totalsRowCount="1" headerRowDxfId="694" dataDxfId="692" totalsRowDxfId="691" headerRowBorderDxfId="693" totalsRowBorderDxfId="690" headerRowCellStyle="Currency">
  <autoFilter ref="A140:L143"/>
  <tableColumns count="12">
    <tableColumn id="1" name="Fiscal_x000a_Year" totalsRowLabel="Total Funded Mandates" dataDxfId="689" totalsRowDxfId="688"/>
    <tableColumn id="2" name="Program_x000a_Name" totalsRowLabel="N/A" dataDxfId="687" totalsRowDxfId="686"/>
    <tableColumn id="3" name="Legal_x000a_Reference_x000a_(Ch./Year)" totalsRowLabel="N/A" dataDxfId="685" totalsRowDxfId="684"/>
    <tableColumn id="4" name="Program _x000a_Number" totalsRowLabel="N/A" dataDxfId="683" totalsRowDxfId="682"/>
    <tableColumn id="5" name="Program_x000a_Costs" totalsRowFunction="sum" dataDxfId="681" totalsRowDxfId="680"/>
    <tableColumn id="6" name="Less: Net Payments and Offsets2" totalsRowFunction="sum" dataDxfId="679" totalsRowDxfId="678"/>
    <tableColumn id="7" name="Comment1" totalsRowLabel="N/A" dataDxfId="677" totalsRowDxfId="676"/>
    <tableColumn id="8" name="Accounts Payable_x000a_Balance" totalsRowFunction="sum" dataDxfId="675" totalsRowDxfId="674"/>
    <tableColumn id="9" name="Established_x000a_Accounts Receivable" totalsRowFunction="sum" dataDxfId="673" totalsRowDxfId="672"/>
    <tableColumn id="10" name="Less: Recovered Amount" totalsRowFunction="sum" dataDxfId="671" totalsRowDxfId="670"/>
    <tableColumn id="11" name="Accounts Receivable_x000a_Balance" totalsRowFunction="sum" dataDxfId="669" totalsRowDxfId="668"/>
    <tableColumn id="12" name="Net_x000a_Balance" totalsRowFunction="sum" dataDxfId="667" totalsRowDxfId="66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Total funded mandates."/>
    </ext>
  </extLst>
</table>
</file>

<file path=xl/tables/table109.xml><?xml version="1.0" encoding="utf-8"?>
<table xmlns="http://schemas.openxmlformats.org/spreadsheetml/2006/main" id="94" name="local288" displayName="local288" ref="A2:L5" totalsRowCount="1" headerRowDxfId="665" dataDxfId="663" totalsRowDxfId="661" headerRowBorderDxfId="664" tableBorderDxfId="662" totalsRowBorderDxfId="660" headerRowCellStyle="Currency">
  <autoFilter ref="A2:L4"/>
  <tableColumns count="12">
    <tableColumn id="1" name="Program_x000a_Name" totalsRowLabel="California Fire Incident Reporting System (CFIRS) Total" dataDxfId="659" totalsRowDxfId="658"/>
    <tableColumn id="2" name="Comment1" totalsRowLabel="N/A" dataDxfId="657" totalsRowDxfId="656"/>
    <tableColumn id="3" name="Legal_x000a_Reference_x000a_(Ch./Year)" totalsRowLabel="N/A" dataDxfId="655" totalsRowDxfId="654"/>
    <tableColumn id="4" name="Program Number" totalsRowLabel="N/A" dataDxfId="653" totalsRowDxfId="652"/>
    <tableColumn id="5" name="Fiscal_x000a_Year" totalsRowLabel="N/A" dataDxfId="651" totalsRowDxfId="650"/>
    <tableColumn id="6" name="Program_x000a_Costs" totalsRowFunction="sum" dataDxfId="649" totalsRowDxfId="648"/>
    <tableColumn id="7" name="Less: Net Payments and Offsets" totalsRowFunction="sum" dataDxfId="647" totalsRowDxfId="646"/>
    <tableColumn id="8" name="Accounts Payable_x000a_Balance" totalsRowFunction="sum" dataDxfId="645" totalsRowDxfId="644"/>
    <tableColumn id="9" name="Established_x000a_Accounts Receivable" totalsRowFunction="sum" dataDxfId="643" totalsRowDxfId="642"/>
    <tableColumn id="10" name="Less: Recovered Amount" totalsRowFunction="sum" dataDxfId="641" totalsRowDxfId="640"/>
    <tableColumn id="11" name="Accounts Receivable_x000a_Balance" totalsRowFunction="sum" dataDxfId="639" totalsRowDxfId="638"/>
    <tableColumn id="12" name="Net_x000a_Balance" totalsRowFunction="sum" dataDxfId="637" totalsRowDxfId="6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.xml><?xml version="1.0" encoding="utf-8"?>
<table xmlns="http://schemas.openxmlformats.org/spreadsheetml/2006/main" id="109" name="localgrandtotala1" displayName="localgrandtotala1" ref="A83:I90" totalsRowCount="1" headerRowDxfId="3479" dataDxfId="3477" totalsRowDxfId="3475" headerRowBorderDxfId="3478" tableBorderDxfId="3476" totalsRowBorderDxfId="3474">
  <autoFilter ref="A83:I89"/>
  <tableColumns count="9">
    <tableColumn id="1" name="Program Category_x000a_and Type of Payment" totalsRowLabel="Grand Total" dataDxfId="3473" totalsRowDxfId="3472"/>
    <tableColumn id="2" name="Fiscal _x000a_Year" totalsRowLabel="N/A" dataDxfId="3471" totalsRowDxfId="3470"/>
    <tableColumn id="3" name="Appropriation _x000a_Number" totalsRowLabel="N/A" dataDxfId="3469" totalsRowDxfId="3468"/>
    <tableColumn id="4" name="Program _x000a_Name" totalsRowLabel="N/A" dataDxfId="3467" totalsRowDxfId="3466"/>
    <tableColumn id="5" name="Legal_x000a_ Reference _x000a_(Ch./Year)" totalsRowLabel="N/A" dataDxfId="3465" totalsRowDxfId="3464"/>
    <tableColumn id="6" name="Program _x000a_Number" totalsRowLabel="N/A" dataDxfId="3463" totalsRowDxfId="3462"/>
    <tableColumn id="7" name="Program Payments and Offsets" totalsRowFunction="sum" dataDxfId="3461" totalsRowDxfId="3460"/>
    <tableColumn id="8" name="Interest_x000a_Payments and Offsets" totalsRowFunction="sum" dataDxfId="3459" totalsRowDxfId="3458"/>
    <tableColumn id="9" name="Total _x000a_Payments" totalsRowFunction="sum" dataDxfId="3457" totalsRowDxfId="345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1: Detail of State-Mandated Program Payments by Fiscal Year. As of August 31, 2023. Local Agencies grand totals."/>
    </ext>
  </extLst>
</table>
</file>

<file path=xl/tables/table110.xml><?xml version="1.0" encoding="utf-8"?>
<table xmlns="http://schemas.openxmlformats.org/spreadsheetml/2006/main" id="95" name="local310" displayName="local310" ref="A7:L19" totalsRowCount="1" headerRowDxfId="635" dataDxfId="633" totalsRowDxfId="631" headerRowBorderDxfId="634" tableBorderDxfId="632" totalsRowBorderDxfId="630" headerRowCellStyle="Currency">
  <autoFilter ref="A7:L18"/>
  <tableColumns count="12">
    <tableColumn id="1" name="Program_x000a_Name" totalsRowLabel="Crime Statistics Reports for the Department of Justice Total" dataDxfId="629" totalsRowDxfId="628"/>
    <tableColumn id="2" name="Comment1" totalsRowLabel="N/A" dataDxfId="627" totalsRowDxfId="626"/>
    <tableColumn id="3" name="Legal_x000a_Reference_x000a_(Ch./Year)" totalsRowLabel="N/A" dataDxfId="625" totalsRowDxfId="624"/>
    <tableColumn id="4" name="Program Number" totalsRowLabel="N/A" dataDxfId="623" totalsRowDxfId="622"/>
    <tableColumn id="5" name="Fiscal_x000a_Year" totalsRowLabel="N/A" dataDxfId="621" totalsRowDxfId="620"/>
    <tableColumn id="6" name="Program_x000a_Costs" totalsRowFunction="sum" dataDxfId="619" totalsRowDxfId="618" dataCellStyle="Currency"/>
    <tableColumn id="7" name="Less: Net Payments and Offsets" totalsRowFunction="sum" dataDxfId="617" totalsRowDxfId="616"/>
    <tableColumn id="8" name="Accounts Payable_x000a_Balance" totalsRowFunction="sum" dataDxfId="615" totalsRowDxfId="614" dataCellStyle="Currency"/>
    <tableColumn id="9" name="Established_x000a_Accounts Receivable" totalsRowFunction="sum" dataDxfId="613" totalsRowDxfId="612"/>
    <tableColumn id="10" name="Less: Recovered Amount" totalsRowFunction="sum" dataDxfId="611" totalsRowDxfId="610"/>
    <tableColumn id="11" name="Accounts Receivable_x000a_Balance" totalsRowFunction="sum" dataDxfId="609" totalsRowDxfId="608"/>
    <tableColumn id="12" name="Net_x000a_Balance" totalsRowFunction="sum" dataDxfId="607" totalsRowDxfId="606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1.xml><?xml version="1.0" encoding="utf-8"?>
<table xmlns="http://schemas.openxmlformats.org/spreadsheetml/2006/main" id="96" name="local306" displayName="local306" ref="A21:L32" totalsRowCount="1" headerRowDxfId="605" dataDxfId="603" totalsRowDxfId="601" headerRowBorderDxfId="604" tableBorderDxfId="602" totalsRowBorderDxfId="600" headerRowCellStyle="Currency">
  <autoFilter ref="A21:L31"/>
  <tableColumns count="12">
    <tableColumn id="1" name="Program_x000a_Name" totalsRowLabel="Crime Victims' Domestic Violence Incident Reports II Total" dataDxfId="599" totalsRowDxfId="598"/>
    <tableColumn id="2" name="Comment1" totalsRowLabel="N/A" dataDxfId="597" totalsRowDxfId="596"/>
    <tableColumn id="3" name="Legal_x000a_Reference_x000a_(Ch./Year)" totalsRowLabel="N/A" dataDxfId="595" totalsRowDxfId="594"/>
    <tableColumn id="4" name="Program Number" totalsRowLabel="N/A" dataDxfId="593" totalsRowDxfId="592"/>
    <tableColumn id="5" name="Fiscal_x000a_Year" totalsRowLabel="N/A" dataDxfId="591" totalsRowDxfId="590"/>
    <tableColumn id="6" name="Program_x000a_Costs" totalsRowFunction="sum" dataDxfId="589" totalsRowDxfId="588"/>
    <tableColumn id="7" name="Less: Net Payments and Offsets" totalsRowFunction="sum" dataDxfId="587" totalsRowDxfId="586"/>
    <tableColumn id="8" name="Accounts Payable_x000a_Balance" totalsRowFunction="sum" dataDxfId="585" totalsRowDxfId="584"/>
    <tableColumn id="9" name="Established_x000a_Accounts Receivable" totalsRowFunction="sum" dataDxfId="583" totalsRowDxfId="582"/>
    <tableColumn id="10" name="Less: Recovered Amount" totalsRowFunction="sum" dataDxfId="581" totalsRowDxfId="580"/>
    <tableColumn id="11" name="Accounts Receivable_x000a_Balance" totalsRowFunction="sum" dataDxfId="579" totalsRowDxfId="578"/>
    <tableColumn id="12" name="Net_x000a_Balance" totalsRowFunction="sum" dataDxfId="577" totalsRowDxfId="57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2.xml><?xml version="1.0" encoding="utf-8"?>
<table xmlns="http://schemas.openxmlformats.org/spreadsheetml/2006/main" id="97" name="local322" displayName="local322" ref="A34:L47" totalsRowCount="1" headerRowDxfId="575" dataDxfId="573" totalsRowDxfId="571" headerRowBorderDxfId="574" tableBorderDxfId="572" totalsRowBorderDxfId="570" headerRowCellStyle="Currency">
  <autoFilter ref="A34:L46"/>
  <tableColumns count="12">
    <tableColumn id="1" name="Program_x000a_Name" totalsRowLabel="Domestic Violence Background Checks Total" dataDxfId="569" totalsRowDxfId="568"/>
    <tableColumn id="2" name="Comment1" totalsRowLabel="N/A" dataDxfId="567" totalsRowDxfId="566"/>
    <tableColumn id="3" name="Legal_x000a_Reference_x000a_(Ch./Year)" totalsRowLabel="N/A" dataDxfId="565" totalsRowDxfId="564"/>
    <tableColumn id="4" name="Program Number" totalsRowLabel="N/A" dataDxfId="563" totalsRowDxfId="562"/>
    <tableColumn id="5" name="Fiscal_x000a_Year" totalsRowLabel="N/A" dataDxfId="561" totalsRowDxfId="560"/>
    <tableColumn id="6" name="Program_x000a_Costs" totalsRowFunction="sum" dataDxfId="559" totalsRowDxfId="558"/>
    <tableColumn id="7" name="Less: Net Payments and Offsets" totalsRowFunction="sum" dataDxfId="557" totalsRowDxfId="556"/>
    <tableColumn id="8" name="Accounts Payable_x000a_Balance" totalsRowFunction="sum" dataDxfId="555" totalsRowDxfId="554"/>
    <tableColumn id="9" name="Established_x000a_Accounts Receivable" totalsRowFunction="sum" dataDxfId="553" totalsRowDxfId="552"/>
    <tableColumn id="10" name="Less: Recovered Amount" totalsRowFunction="sum" dataDxfId="551" totalsRowDxfId="550"/>
    <tableColumn id="11" name="Accounts Receivable_x000a_Balance" totalsRowFunction="sum" dataDxfId="549" totalsRowDxfId="548"/>
    <tableColumn id="12" name="Net_x000a_Balance" totalsRowFunction="sum" dataDxfId="547" totalsRowDxfId="54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3.xml><?xml version="1.0" encoding="utf-8"?>
<table xmlns="http://schemas.openxmlformats.org/spreadsheetml/2006/main" id="98" name="local293" displayName="local293" ref="A49:L60" totalsRowCount="1" headerRowDxfId="545" dataDxfId="543" totalsRowDxfId="541" headerRowBorderDxfId="544" tableBorderDxfId="542" totalsRowBorderDxfId="540" headerRowCellStyle="Currency">
  <autoFilter ref="A49:L59"/>
  <tableColumns count="12">
    <tableColumn id="1" name="Program_x000a_Name" totalsRowLabel="Firearm Hearings for Discharged Inpatients Total" dataDxfId="539" totalsRowDxfId="538"/>
    <tableColumn id="2" name="Comment1" totalsRowLabel="N/A" dataDxfId="537" totalsRowDxfId="536"/>
    <tableColumn id="3" name="Legal_x000a_Reference_x000a_(Ch./Year)" totalsRowLabel="N/A" dataDxfId="535" totalsRowDxfId="534"/>
    <tableColumn id="4" name="Program Number" totalsRowLabel="N/A" dataDxfId="533" totalsRowDxfId="532"/>
    <tableColumn id="5" name="Fiscal_x000a_Year" totalsRowLabel="N/A" dataDxfId="531" totalsRowDxfId="530"/>
    <tableColumn id="6" name="Program_x000a_Costs" totalsRowFunction="sum" dataDxfId="529" totalsRowDxfId="528"/>
    <tableColumn id="7" name="Less: Net Payments and Offsets" totalsRowFunction="sum" dataDxfId="527" totalsRowDxfId="526"/>
    <tableColumn id="8" name="Accounts Payable_x000a_Balance" totalsRowFunction="sum" dataDxfId="525" totalsRowDxfId="524"/>
    <tableColumn id="9" name="Established_x000a_Accounts Receivable" totalsRowFunction="sum" dataDxfId="523" totalsRowDxfId="522"/>
    <tableColumn id="10" name="Less: Recovered Amount" totalsRowFunction="sum" dataDxfId="521" totalsRowDxfId="520"/>
    <tableColumn id="11" name="Accounts Receivable_x000a_Balance" totalsRowFunction="sum" dataDxfId="519" totalsRowDxfId="518"/>
    <tableColumn id="12" name="Net_x000a_Balance" totalsRowFunction="sum" dataDxfId="517" totalsRowDxfId="5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4.xml><?xml version="1.0" encoding="utf-8"?>
<table xmlns="http://schemas.openxmlformats.org/spreadsheetml/2006/main" id="99" name="local321" displayName="local321" ref="A62:L74" totalsRowCount="1" headerRowDxfId="515" dataDxfId="513" totalsRowDxfId="511" headerRowBorderDxfId="514" tableBorderDxfId="512" totalsRowBorderDxfId="510" headerRowCellStyle="Currency">
  <autoFilter ref="A62:L73"/>
  <tableColumns count="12">
    <tableColumn id="1" name="Program_x000a_Name" totalsRowLabel="Identity Theft Total" dataDxfId="509" totalsRowDxfId="508"/>
    <tableColumn id="2" name="Comment1" totalsRowLabel="N/A" dataDxfId="507" totalsRowDxfId="506"/>
    <tableColumn id="3" name="Legal_x000a_Reference_x000a_(Ch./Year)" totalsRowLabel="N/A" dataDxfId="505" totalsRowDxfId="504"/>
    <tableColumn id="4" name="Program Number" totalsRowLabel="N/A" dataDxfId="503" totalsRowDxfId="502"/>
    <tableColumn id="5" name="Fiscal_x000a_Year" totalsRowLabel="N/A" dataDxfId="501" totalsRowDxfId="500"/>
    <tableColumn id="6" name="Program_x000a_Costs" totalsRowFunction="sum" dataDxfId="499" totalsRowDxfId="498" dataCellStyle="Currency"/>
    <tableColumn id="7" name="Less: Net Payments and Offsets" totalsRowFunction="sum" dataDxfId="497" totalsRowDxfId="496"/>
    <tableColumn id="8" name="Accounts Payable_x000a_Balance" totalsRowFunction="sum" dataDxfId="495" totalsRowDxfId="494" dataCellStyle="Currency"/>
    <tableColumn id="9" name="Established_x000a_Accounts Receivable" totalsRowFunction="sum" dataDxfId="493" totalsRowDxfId="492"/>
    <tableColumn id="10" name="Less: Recovered Amount" totalsRowFunction="sum" dataDxfId="491" totalsRowDxfId="490"/>
    <tableColumn id="11" name="Accounts Receivable_x000a_Balance" totalsRowFunction="sum" dataDxfId="489" totalsRowDxfId="488"/>
    <tableColumn id="12" name="Net_x000a_Balance" totalsRowFunction="sum" dataDxfId="487" totalsRowDxfId="486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5.xml><?xml version="1.0" encoding="utf-8"?>
<table xmlns="http://schemas.openxmlformats.org/spreadsheetml/2006/main" id="100" name="local358" displayName="local358" ref="A76:L93" totalsRowCount="1" headerRowDxfId="485" dataDxfId="483" totalsRowDxfId="481" headerRowBorderDxfId="484" tableBorderDxfId="482" totalsRowBorderDxfId="480" headerRowCellStyle="Currency">
  <autoFilter ref="A76:L92"/>
  <tableColumns count="12">
    <tableColumn id="1" name="Program_x000a_Name" totalsRowLabel="Interagency Child Abuse and Neglect Investigation Reports Total" dataDxfId="479" totalsRowDxfId="478"/>
    <tableColumn id="2" name="Comment1" totalsRowLabel="N/A" dataDxfId="477" totalsRowDxfId="476"/>
    <tableColumn id="3" name="Legal_x000a_Reference_x000a_(Ch./Year)" totalsRowLabel="N/A" dataDxfId="475" totalsRowDxfId="474"/>
    <tableColumn id="4" name="Program Number" totalsRowLabel="N/A" dataDxfId="473" totalsRowDxfId="472"/>
    <tableColumn id="5" name="Fiscal_x000a_Year" totalsRowLabel="N/A" dataDxfId="471" totalsRowDxfId="470"/>
    <tableColumn id="6" name="Program_x000a_Costs" totalsRowFunction="sum" dataDxfId="469" totalsRowDxfId="468"/>
    <tableColumn id="7" name="Less: Net Payments and Offsets" totalsRowFunction="sum" dataDxfId="467" totalsRowDxfId="466"/>
    <tableColumn id="8" name="Accounts Payable_x000a_Balance" totalsRowFunction="sum" dataDxfId="465" totalsRowDxfId="464"/>
    <tableColumn id="9" name="Established_x000a_Accounts Receivable" totalsRowFunction="sum" dataDxfId="463" totalsRowDxfId="462"/>
    <tableColumn id="10" name="Less: Recovered Amount" totalsRowFunction="sum" dataDxfId="461" totalsRowDxfId="460"/>
    <tableColumn id="11" name="Accounts Receivable_x000a_Balance" totalsRowFunction="sum" dataDxfId="459" totalsRowDxfId="458"/>
    <tableColumn id="12" name="Net_x000a_Balance" totalsRowFunction="sum" dataDxfId="457" totalsRowDxfId="45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6.xml><?xml version="1.0" encoding="utf-8"?>
<table xmlns="http://schemas.openxmlformats.org/spreadsheetml/2006/main" id="101" name="local259" displayName="local259" ref="A95:L98" totalsRowCount="1" headerRowDxfId="455" dataDxfId="453" totalsRowDxfId="451" headerRowBorderDxfId="454" tableBorderDxfId="452" totalsRowBorderDxfId="450" headerRowCellStyle="Currency">
  <autoFilter ref="A95:L97"/>
  <tableColumns count="12">
    <tableColumn id="1" name="Program_x000a_Name" totalsRowLabel="Local Elections: Consolidation Total" dataDxfId="449" totalsRowDxfId="448"/>
    <tableColumn id="2" name="Comment1" totalsRowLabel="N/A" dataDxfId="447" totalsRowDxfId="446"/>
    <tableColumn id="3" name="Legal_x000a_Reference_x000a_(Ch./Year)" totalsRowLabel="N/A" dataDxfId="445" totalsRowDxfId="444"/>
    <tableColumn id="4" name="Program Number" totalsRowLabel="N/A" dataDxfId="443" totalsRowDxfId="442"/>
    <tableColumn id="5" name="Fiscal_x000a_Year" totalsRowLabel="N/A" dataDxfId="441" totalsRowDxfId="440"/>
    <tableColumn id="6" name="Program_x000a_Costs" totalsRowFunction="sum" dataDxfId="439" totalsRowDxfId="438"/>
    <tableColumn id="7" name="Less: Net Payments and Offsets" totalsRowFunction="sum" dataDxfId="437" totalsRowDxfId="436"/>
    <tableColumn id="8" name="Accounts Payable_x000a_Balance" totalsRowFunction="sum" dataDxfId="435" totalsRowDxfId="434"/>
    <tableColumn id="9" name="Established_x000a_Accounts Receivable" totalsRowFunction="sum" dataDxfId="433" totalsRowDxfId="432"/>
    <tableColumn id="10" name="Less: Recovered Amount" totalsRowFunction="sum" dataDxfId="431" totalsRowDxfId="430"/>
    <tableColumn id="11" name="Accounts Receivable_x000a_Balance" totalsRowFunction="sum" dataDxfId="429" totalsRowDxfId="428"/>
    <tableColumn id="12" name="Net_x000a_Balance" totalsRowFunction="sum" dataDxfId="427" totalsRowDxfId="42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7.xml><?xml version="1.0" encoding="utf-8"?>
<table xmlns="http://schemas.openxmlformats.org/spreadsheetml/2006/main" id="102" name="local298" displayName="local298" ref="A100:L122" totalsRowCount="1" headerRowDxfId="425" dataDxfId="423" totalsRowDxfId="421" headerRowBorderDxfId="424" tableBorderDxfId="422" totalsRowBorderDxfId="420" headerRowCellStyle="Currency">
  <autoFilter ref="A100:L121"/>
  <tableColumns count="12">
    <tableColumn id="1" name="Program_x000a_Name" totalsRowLabel="Local Government Employee Relations Total" dataDxfId="419" totalsRowDxfId="418"/>
    <tableColumn id="2" name="Comment1" totalsRowLabel="N/A" dataDxfId="417" totalsRowDxfId="416"/>
    <tableColumn id="3" name="Legal_x000a_Reference_x000a_(Ch./Year)" totalsRowLabel="N/A" dataDxfId="415" totalsRowDxfId="414"/>
    <tableColumn id="4" name="Program Number" totalsRowLabel="N/A" dataDxfId="413" totalsRowDxfId="412"/>
    <tableColumn id="5" name="Fiscal_x000a_Year" totalsRowLabel="N/A" dataDxfId="411" totalsRowDxfId="410"/>
    <tableColumn id="6" name="Program_x000a_Costs" totalsRowFunction="sum" dataDxfId="409" totalsRowDxfId="408" dataCellStyle="Currency"/>
    <tableColumn id="7" name="Less: Net Payments and Offsets" totalsRowFunction="sum" dataDxfId="407" totalsRowDxfId="406"/>
    <tableColumn id="8" name="Accounts Payable_x000a_Balance" totalsRowFunction="sum" dataDxfId="405" totalsRowDxfId="404" dataCellStyle="Currency"/>
    <tableColumn id="9" name="Established_x000a_Accounts Receivable" totalsRowFunction="sum" dataDxfId="403" totalsRowDxfId="402"/>
    <tableColumn id="10" name="Less: Recovered Amount" totalsRowFunction="sum" dataDxfId="401" totalsRowDxfId="400"/>
    <tableColumn id="11" name="Accounts Receivable_x000a_Balance" totalsRowFunction="sum" dataDxfId="399" totalsRowDxfId="398"/>
    <tableColumn id="12" name="Net_x000a_Balance" totalsRowFunction="sum" dataDxfId="397" totalsRowDxfId="396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8.xml><?xml version="1.0" encoding="utf-8"?>
<table xmlns="http://schemas.openxmlformats.org/spreadsheetml/2006/main" id="103" name="local281" displayName="local281" ref="A124:L135" totalsRowCount="1" headerRowDxfId="395" dataDxfId="393" totalsRowDxfId="391" headerRowBorderDxfId="394" tableBorderDxfId="392" totalsRowBorderDxfId="390" headerRowCellStyle="Currency">
  <autoFilter ref="A124:L134"/>
  <tableColumns count="12">
    <tableColumn id="1" name="Program_x000a_Name" totalsRowLabel="Mentally Disordered Offenders: Treatment as a Condition of Parole Total" dataDxfId="389" totalsRowDxfId="388"/>
    <tableColumn id="2" name="Comment1" totalsRowLabel="N/A" dataDxfId="387" totalsRowDxfId="386"/>
    <tableColumn id="3" name="Legal_x000a_Reference_x000a_(Ch./Year)" totalsRowLabel="N/A" dataDxfId="385" totalsRowDxfId="384"/>
    <tableColumn id="4" name="Program Number" totalsRowLabel="N/A" dataDxfId="383" totalsRowDxfId="382"/>
    <tableColumn id="5" name="Fiscal_x000a_Year" totalsRowLabel="N/A" dataDxfId="381" totalsRowDxfId="380"/>
    <tableColumn id="6" name="Program_x000a_Costs" totalsRowFunction="sum" dataDxfId="379" totalsRowDxfId="378"/>
    <tableColumn id="7" name="Less: Net Payments and Offsets" totalsRowFunction="sum" dataDxfId="377" totalsRowDxfId="376"/>
    <tableColumn id="8" name="Accounts Payable_x000a_Balance" totalsRowFunction="sum" dataDxfId="375" totalsRowDxfId="374"/>
    <tableColumn id="9" name="Established_x000a_Accounts Receivable" totalsRowFunction="sum" dataDxfId="373" totalsRowDxfId="372"/>
    <tableColumn id="10" name="Less: Recovered Amount" totalsRowFunction="sum" dataDxfId="371" totalsRowDxfId="370"/>
    <tableColumn id="11" name="Accounts Receivable_x000a_Balance" totalsRowFunction="sum" dataDxfId="369" totalsRowDxfId="368"/>
    <tableColumn id="12" name="Net_x000a_Balance" totalsRowFunction="sum" dataDxfId="367" totalsRowDxfId="36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19.xml><?xml version="1.0" encoding="utf-8"?>
<table xmlns="http://schemas.openxmlformats.org/spreadsheetml/2006/main" id="104" name="local323" displayName="local323" ref="A137:L145" totalsRowCount="1" headerRowDxfId="365" dataDxfId="363" totalsRowDxfId="361" headerRowBorderDxfId="364" tableBorderDxfId="362" totalsRowBorderDxfId="360" headerRowCellStyle="Currency">
  <autoFilter ref="A137:L144"/>
  <tableColumns count="12">
    <tableColumn id="1" name="Program_x000a_Name" totalsRowLabel="Modified Primary Election Total" dataDxfId="359" totalsRowDxfId="358"/>
    <tableColumn id="2" name="Comment1" totalsRowLabel="N/A" dataDxfId="357" totalsRowDxfId="356"/>
    <tableColumn id="3" name="Legal_x000a_Reference_x000a_(Ch./Year)" totalsRowLabel="N/A" dataDxfId="355" totalsRowDxfId="354"/>
    <tableColumn id="4" name="Program Number" totalsRowLabel="N/A" dataDxfId="353" totalsRowDxfId="352"/>
    <tableColumn id="5" name="Fiscal_x000a_Year" totalsRowLabel="N/A" dataDxfId="351" totalsRowDxfId="350"/>
    <tableColumn id="6" name="Program_x000a_Costs" totalsRowFunction="sum" dataDxfId="349" totalsRowDxfId="348"/>
    <tableColumn id="7" name="Less: Net Payments and Offsets" totalsRowFunction="sum" dataDxfId="347" totalsRowDxfId="346"/>
    <tableColumn id="8" name="Accounts Payable_x000a_Balance" totalsRowFunction="sum" dataDxfId="345" totalsRowDxfId="344"/>
    <tableColumn id="9" name="Established_x000a_Accounts Receivable" totalsRowFunction="sum" dataDxfId="343" totalsRowDxfId="342"/>
    <tableColumn id="10" name="Less: Recovered Amount" totalsRowFunction="sum" dataDxfId="341" totalsRowDxfId="340"/>
    <tableColumn id="11" name="Accounts Receivable_x000a_Balance" totalsRowFunction="sum" dataDxfId="339" totalsRowDxfId="338"/>
    <tableColumn id="12" name="Net_x000a_Balance" totalsRowFunction="sum" dataDxfId="337" totalsRowDxfId="3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2.xml><?xml version="1.0" encoding="utf-8"?>
<table xmlns="http://schemas.openxmlformats.org/spreadsheetml/2006/main" id="126" name="Table126" displayName="Table126" ref="A64:I66" totalsRowCount="1" headerRowDxfId="3455" dataDxfId="3453" totalsRowDxfId="3451" headerRowBorderDxfId="3454" tableBorderDxfId="3452" totalsRowBorderDxfId="3450" dataCellStyle="Currency">
  <autoFilter ref="A64:I65"/>
  <tableColumns count="9">
    <tableColumn id="1" name="Program Category_x000a_and Type of Payment" totalsRowLabel="0001-8885-2021-29523-98 Total" dataDxfId="3449" totalsRowDxfId="3448"/>
    <tableColumn id="2" name="Fiscal _x000a_Year" totalsRowLabel="N/A" dataDxfId="3447" totalsRowDxfId="3446"/>
    <tableColumn id="3" name="Appropriation _x000a_Number" totalsRowLabel="N/A" dataDxfId="3445" totalsRowDxfId="3444"/>
    <tableColumn id="4" name="Program _x000a_Name" totalsRowLabel="N/A" dataDxfId="3443" totalsRowDxfId="3442"/>
    <tableColumn id="5" name="Legal_x000a_ Reference _x000a_(Ch./Year)" totalsRowLabel="N/A" dataDxfId="3441" totalsRowDxfId="3440"/>
    <tableColumn id="6" name="Program _x000a_Number" totalsRowLabel="N/A" dataDxfId="3439" totalsRowDxfId="3438"/>
    <tableColumn id="7" name="Program Payments and Offsets" totalsRowFunction="sum" dataDxfId="3437" totalsRowDxfId="3436" dataCellStyle="Currency"/>
    <tableColumn id="8" name="Interest_x000a_Payments and Offsets" totalsRowFunction="sum" dataDxfId="3435" totalsRowDxfId="3434" dataCellStyle="Currency"/>
    <tableColumn id="9" name="Total _x000a_Payments" totalsRowFunction="sum" dataDxfId="3433" totalsRowDxfId="3432" dataCellStyle="Currency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1: Detail of State-Mandated Program Payments by Fiscal Year. As of August 31, 2023. Local Agencies-Annual Claim."/>
    </ext>
  </extLst>
</table>
</file>

<file path=xl/tables/table120.xml><?xml version="1.0" encoding="utf-8"?>
<table xmlns="http://schemas.openxmlformats.org/spreadsheetml/2006/main" id="118" name="local356" displayName="local356" ref="A147:L168" totalsRowCount="1" headerRowDxfId="335" dataDxfId="333" totalsRowDxfId="331" headerRowBorderDxfId="334" tableBorderDxfId="332" totalsRowBorderDxfId="330" headerRowCellStyle="Currency">
  <autoFilter ref="A147:L167"/>
  <tableColumns count="12">
    <tableColumn id="1" name="Program_x000a_Name" totalsRowLabel="Peace Officers Procedural Bill of Rights II Total" dataDxfId="329" totalsRowDxfId="328"/>
    <tableColumn id="2" name="Comment1" totalsRowLabel="N/A" dataDxfId="327" totalsRowDxfId="326"/>
    <tableColumn id="3" name="Legal_x000a_Reference_x000a_(Ch./Year)" totalsRowLabel="N/A" dataDxfId="325" totalsRowDxfId="324"/>
    <tableColumn id="4" name="Program Number" totalsRowLabel="N/A" dataDxfId="323" totalsRowDxfId="322"/>
    <tableColumn id="5" name="Fiscal_x000a_Year" totalsRowLabel="N/A" dataDxfId="321" totalsRowDxfId="320"/>
    <tableColumn id="6" name="Program_x000a_Costs" totalsRowFunction="sum" dataDxfId="319" totalsRowDxfId="318" dataCellStyle="Currency"/>
    <tableColumn id="7" name="Less: Net Payments and Offsets" totalsRowFunction="sum" dataDxfId="317" totalsRowDxfId="316"/>
    <tableColumn id="8" name="Accounts Payable_x000a_Balance" totalsRowFunction="sum" dataDxfId="315" totalsRowDxfId="314" dataCellStyle="Currency"/>
    <tableColumn id="9" name="Established_x000a_Accounts Receivable" totalsRowFunction="sum" dataDxfId="313" totalsRowDxfId="312"/>
    <tableColumn id="10" name="Less: Recovered Amount" totalsRowFunction="sum" dataDxfId="311" totalsRowDxfId="310"/>
    <tableColumn id="11" name="Accounts Receivable_x000a_Balance" totalsRowFunction="sum" dataDxfId="309" totalsRowDxfId="308"/>
    <tableColumn id="12" name="Net_x000a_Balance" totalsRowFunction="sum" dataDxfId="307" totalsRowDxfId="306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21.xml><?xml version="1.0" encoding="utf-8"?>
<table xmlns="http://schemas.openxmlformats.org/spreadsheetml/2006/main" id="119" name="local324" displayName="local324" ref="A170:L182" totalsRowCount="1" headerRowDxfId="305" dataDxfId="303" totalsRowDxfId="301" headerRowBorderDxfId="304" tableBorderDxfId="302" totalsRowBorderDxfId="300" headerRowCellStyle="Currency">
  <autoFilter ref="A170:L181"/>
  <tableColumns count="12">
    <tableColumn id="1" name="Program_x000a_Name" totalsRowLabel="Permanent Absent Voters II Total" dataDxfId="299" totalsRowDxfId="298"/>
    <tableColumn id="2" name="Comment1" totalsRowLabel="N/A" dataDxfId="297" totalsRowDxfId="296"/>
    <tableColumn id="3" name="Legal_x000a_Reference_x000a_(Ch./Year)" totalsRowLabel="N/A" dataDxfId="295" totalsRowDxfId="294"/>
    <tableColumn id="4" name="Program Number" totalsRowLabel="N/A" dataDxfId="293" totalsRowDxfId="292"/>
    <tableColumn id="5" name="Fiscal_x000a_Year" totalsRowLabel="N/A" dataDxfId="291" totalsRowDxfId="290"/>
    <tableColumn id="6" name="Program_x000a_Costs" totalsRowFunction="sum" dataDxfId="289" totalsRowDxfId="288"/>
    <tableColumn id="7" name="Less: Net Payments and Offsets" totalsRowFunction="sum" dataDxfId="287" totalsRowDxfId="286"/>
    <tableColumn id="8" name="Accounts Payable_x000a_Balance" totalsRowFunction="sum" dataDxfId="285" totalsRowDxfId="284"/>
    <tableColumn id="9" name="Established_x000a_Accounts Receivable" totalsRowFunction="sum" dataDxfId="283" totalsRowDxfId="282"/>
    <tableColumn id="10" name="Less: Recovered Amount" totalsRowFunction="sum" dataDxfId="281" totalsRowDxfId="280"/>
    <tableColumn id="11" name="Accounts Receivable_x000a_Balance" totalsRowFunction="sum" dataDxfId="279" totalsRowDxfId="278"/>
    <tableColumn id="12" name="Net_x000a_Balance" totalsRowFunction="sum" dataDxfId="277" totalsRowDxfId="27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22.xml><?xml version="1.0" encoding="utf-8"?>
<table xmlns="http://schemas.openxmlformats.org/spreadsheetml/2006/main" id="120" name="local376" displayName="local376" ref="A184:L192" totalsRowCount="1" headerRowDxfId="275" dataDxfId="273" totalsRowDxfId="271" headerRowBorderDxfId="274" tableBorderDxfId="272" totalsRowBorderDxfId="270" headerRowCellStyle="Currency">
  <autoFilter ref="A184:L191"/>
  <tableColumns count="12">
    <tableColumn id="1" name="Program_x000a_Name" totalsRowLabel="Sexually Violent Predators For the Period of 7/1/2011 Through 6/30/2018 Total" dataDxfId="269" totalsRowDxfId="268"/>
    <tableColumn id="2" name="Comment1" totalsRowLabel="N/A" dataDxfId="267" totalsRowDxfId="266"/>
    <tableColumn id="3" name="Legal_x000a_Reference_x000a_(Ch./Year)" totalsRowLabel="N/A" dataDxfId="265" totalsRowDxfId="264"/>
    <tableColumn id="4" name="Program Number" totalsRowLabel="N/A" dataDxfId="263" totalsRowDxfId="262"/>
    <tableColumn id="5" name="Fiscal_x000a_Year" totalsRowLabel="N/A" dataDxfId="261" totalsRowDxfId="260"/>
    <tableColumn id="6" name="Program_x000a_Costs" totalsRowFunction="sum" dataDxfId="259" totalsRowDxfId="258"/>
    <tableColumn id="7" name="Less: Net Payments and Offsets" totalsRowFunction="sum" dataDxfId="257" totalsRowDxfId="256"/>
    <tableColumn id="8" name="Accounts Payable_x000a_Balance" totalsRowFunction="sum" dataDxfId="255" totalsRowDxfId="254"/>
    <tableColumn id="9" name="Established_x000a_Accounts Receivable" totalsRowFunction="sum" dataDxfId="253" totalsRowDxfId="252"/>
    <tableColumn id="10" name="Less: Recovered Amount" totalsRowFunction="sum" dataDxfId="251" totalsRowDxfId="250"/>
    <tableColumn id="11" name="Accounts Receivable_x000a_Balance" totalsRowFunction="sum" dataDxfId="249" totalsRowDxfId="248"/>
    <tableColumn id="12" name="Net_x000a_Balance" totalsRowFunction="sum" dataDxfId="247" totalsRowDxfId="24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23.xml><?xml version="1.0" encoding="utf-8"?>
<table xmlns="http://schemas.openxmlformats.org/spreadsheetml/2006/main" id="121" name="local331" displayName="local331" ref="A194:L206" totalsRowCount="1" headerRowDxfId="245" dataDxfId="243" totalsRowDxfId="241" headerRowBorderDxfId="244" tableBorderDxfId="242" totalsRowBorderDxfId="240" headerRowCellStyle="Currency">
  <autoFilter ref="A194:L205"/>
  <tableColumns count="12">
    <tableColumn id="1" name="Program_x000a_Name" totalsRowLabel="Voter Identification Procedures Total" dataDxfId="239" totalsRowDxfId="238"/>
    <tableColumn id="2" name="Comment1" totalsRowLabel="N/A" dataDxfId="237" totalsRowDxfId="236"/>
    <tableColumn id="3" name="Legal_x000a_Reference_x000a_(Ch./Year)" totalsRowLabel="N/A" dataDxfId="235" totalsRowDxfId="234"/>
    <tableColumn id="4" name="Program Number" totalsRowLabel="N/A" dataDxfId="233" totalsRowDxfId="232"/>
    <tableColumn id="5" name="Fiscal_x000a_Year" totalsRowLabel="N/A" dataDxfId="231" totalsRowDxfId="230"/>
    <tableColumn id="6" name="Program_x000a_Costs" totalsRowFunction="sum" dataDxfId="229" totalsRowDxfId="228"/>
    <tableColumn id="7" name="Less: Net Payments and Offsets" totalsRowFunction="sum" dataDxfId="227" totalsRowDxfId="226"/>
    <tableColumn id="8" name="Accounts Payable_x000a_Balance" totalsRowFunction="sum" dataDxfId="225" totalsRowDxfId="224"/>
    <tableColumn id="9" name="Established_x000a_Accounts Receivable" totalsRowFunction="sum" dataDxfId="223" totalsRowDxfId="222"/>
    <tableColumn id="10" name="Less: Recovered Amount" totalsRowFunction="sum" dataDxfId="221" totalsRowDxfId="220"/>
    <tableColumn id="11" name="Accounts Receivable_x000a_Balance" totalsRowFunction="sum" dataDxfId="219" totalsRowDxfId="218"/>
    <tableColumn id="12" name="Net_x000a_Balance" totalsRowFunction="sum" dataDxfId="217" totalsRowDxfId="2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."/>
    </ext>
  </extLst>
</table>
</file>

<file path=xl/tables/table124.xml><?xml version="1.0" encoding="utf-8"?>
<table xmlns="http://schemas.openxmlformats.org/spreadsheetml/2006/main" id="122" name="localunfundedgrandtotal" displayName="localunfundedgrandtotal" ref="A208:L224" totalsRowCount="1" headerRowDxfId="215" dataDxfId="213" totalsRowDxfId="211" headerRowBorderDxfId="214" tableBorderDxfId="212" totalsRowBorderDxfId="210" headerRowCellStyle="Currency">
  <autoFilter ref="A208:L223"/>
  <tableColumns count="12">
    <tableColumn id="1" name="Program_x000a_Name" totalsRowLabel="Total Local Agencies" dataDxfId="209" totalsRowDxfId="208"/>
    <tableColumn id="2" name="Comment1" totalsRowLabel="N/A" dataDxfId="207" totalsRowDxfId="206"/>
    <tableColumn id="3" name="Legal_x000a_Reference_x000a_(Ch./Year)" totalsRowLabel="N/A" dataDxfId="205" totalsRowDxfId="204"/>
    <tableColumn id="4" name="Program Number" totalsRowLabel="N/A" dataDxfId="203" totalsRowDxfId="202"/>
    <tableColumn id="5" name="Fiscal_x000a_Year" totalsRowLabel="N/A" dataDxfId="201" totalsRowDxfId="200"/>
    <tableColumn id="6" name="Program_x000a_Costs" totalsRowFunction="sum" dataDxfId="199" totalsRowDxfId="198"/>
    <tableColumn id="7" name="Less: Net Payments and Offsets" totalsRowFunction="sum" dataDxfId="197" totalsRowDxfId="196"/>
    <tableColumn id="8" name="Accounts Payable_x000a_Balance" totalsRowFunction="sum" dataDxfId="195" totalsRowDxfId="194"/>
    <tableColumn id="9" name="Established_x000a_Accounts Receivable" totalsRowFunction="sum" dataDxfId="193" totalsRowDxfId="192"/>
    <tableColumn id="10" name="Less: Recovered Amount" totalsRowFunction="sum" dataDxfId="191" totalsRowDxfId="190"/>
    <tableColumn id="11" name="Accounts Receivable_x000a_Balance" totalsRowFunction="sum" dataDxfId="189" totalsRowDxfId="188"/>
    <tableColumn id="12" name="Net_x000a_Balance" totalsRowFunction="sum" dataDxfId="187" totalsRowDxfId="18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Local Agencies grand totals."/>
    </ext>
  </extLst>
</table>
</file>

<file path=xl/tables/table125.xml><?xml version="1.0" encoding="utf-8"?>
<table xmlns="http://schemas.openxmlformats.org/spreadsheetml/2006/main" id="123" name="unfundedgrandtotal" displayName="unfundedgrandtotal" ref="A226:L228" totalsRowCount="1" headerRowDxfId="185" dataDxfId="183" totalsRowDxfId="181" headerRowBorderDxfId="184" tableBorderDxfId="182" totalsRowBorderDxfId="180" headerRowCellStyle="Currency">
  <autoFilter ref="A226:L227"/>
  <tableColumns count="12">
    <tableColumn id="1" name="Program_x000a_Name" totalsRowLabel="Total Unfunded Mandates8" totalsRowDxfId="11" dataCellStyle="Hyperlink"/>
    <tableColumn id="2" name="Comment1" totalsRowLabel="Comment: There are no unfunded school district and community college district state-mandated programs." dataDxfId="179" totalsRowDxfId="10"/>
    <tableColumn id="3" name="Legal_x000a_Reference_x000a_(Ch./Year)" totalsRowLabel="N/A" dataDxfId="178" totalsRowDxfId="9"/>
    <tableColumn id="4" name="Program Number" totalsRowLabel="N/A" dataDxfId="177" totalsRowDxfId="8"/>
    <tableColumn id="5" name="Fiscal_x000a_Year" totalsRowLabel="N/A" dataDxfId="176" totalsRowDxfId="7"/>
    <tableColumn id="6" name="Program_x000a_Costs" totalsRowFunction="sum" dataDxfId="175" totalsRowDxfId="6"/>
    <tableColumn id="7" name="Less: Net Payments and Offsets" totalsRowFunction="sum" dataDxfId="174" totalsRowDxfId="5"/>
    <tableColumn id="8" name="Accounts Payable_x000a_Balance" totalsRowFunction="sum" dataDxfId="173" totalsRowDxfId="4"/>
    <tableColumn id="9" name="Established_x000a_Accounts Receivable" totalsRowFunction="sum" dataDxfId="172" totalsRowDxfId="3"/>
    <tableColumn id="10" name="Less: Recovered Amount" totalsRowFunction="sum" dataDxfId="171" totalsRowDxfId="2"/>
    <tableColumn id="11" name="Accounts Receivable_x000a_Balance" totalsRowFunction="sum" dataDxfId="170" totalsRowDxfId="1"/>
    <tableColumn id="12" name="Net_x000a_Balance" totalsRowFunction="sum" dataDxfId="169" totalsRowDxfId="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2: Detail of Unfunded State-Mandated Programs. As of August 31, 2023. Total unfunded mandates."/>
    </ext>
  </extLst>
</table>
</file>

<file path=xl/tables/table126.xml><?xml version="1.0" encoding="utf-8"?>
<table xmlns="http://schemas.openxmlformats.org/spreadsheetml/2006/main" id="7" name="schedulec" displayName="schedulec" ref="A2:L4" totalsRowCount="1" headerRowDxfId="168" dataDxfId="166" totalsRowDxfId="164" headerRowBorderDxfId="167" tableBorderDxfId="165" totalsRowBorderDxfId="163">
  <autoFilter ref="A2:L3"/>
  <tableColumns count="12">
    <tableColumn id="1" name="Number" totalsRowLabel="Total Outstanding Incorrect Reduction Claims Filed with the Commission on State Mandates" dataDxfId="162" totalsRowDxfId="161"/>
    <tableColumn id="2" name="Revised_x000a_(R)" totalsRowLabel="N/A" dataDxfId="160" totalsRowDxfId="159"/>
    <tableColumn id="3" name="File_x000a_Number" totalsRowLabel="N/A" dataDxfId="158" totalsRowDxfId="157"/>
    <tableColumn id="4" name="Filing_x000a_Date" totalsRowLabel="N/A" dataDxfId="156" totalsRowDxfId="155"/>
    <tableColumn id="5" name="Date Comments Filed" totalsRowLabel="N/A" dataDxfId="154" totalsRowDxfId="153"/>
    <tableColumn id="6" name="Record Closed" totalsRowLabel="N/A" dataDxfId="152" totalsRowDxfId="151"/>
    <tableColumn id="7" name="Claimant" totalsRowLabel="N/A" dataDxfId="150" totalsRowDxfId="149"/>
    <tableColumn id="8" name="Fiscal_x000a_Year" totalsRowLabel="N/A" dataDxfId="148" totalsRowDxfId="147"/>
    <tableColumn id="9" name="Amount_x000a_of Claim" totalsRowFunction="sum" dataDxfId="146" totalsRowDxfId="145"/>
    <tableColumn id="10" name="Name" totalsRowLabel="N/A" dataDxfId="144" totalsRowDxfId="143"/>
    <tableColumn id="11" name="Type" totalsRowLabel="N/A" dataDxfId="142" totalsRowDxfId="141"/>
    <tableColumn id="12" name="Tentative Hearing Date" totalsRowLabel="N/A" dataDxfId="140" totalsRowDxfId="13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C: Outstanding Incorrect Reduction Claims_x000d__x000a_Filed with the Commission on State Mandates_x000d__x000a_As of August 31, 2023"/>
    </ext>
  </extLst>
</table>
</file>

<file path=xl/tables/table13.xml><?xml version="1.0" encoding="utf-8"?>
<table xmlns="http://schemas.openxmlformats.org/spreadsheetml/2006/main" id="127" name="Table127" displayName="Table127" ref="A68:I70" totalsRowCount="1" headerRowDxfId="3431" dataDxfId="3429" totalsRowDxfId="3427" headerRowBorderDxfId="3430" tableBorderDxfId="3428" totalsRowBorderDxfId="3426" dataCellStyle="Currency">
  <autoFilter ref="A68:I69"/>
  <tableColumns count="9">
    <tableColumn id="1" name="Program Category_x000a_and Type of Payment" totalsRowLabel="0001-8885-2020-295-98 Total" dataDxfId="3425" totalsRowDxfId="3424"/>
    <tableColumn id="2" name="Fiscal _x000a_Year" totalsRowLabel="N/A" totalsRowDxfId="3423"/>
    <tableColumn id="3" name="Appropriation _x000a_Number" totalsRowLabel="N/A" totalsRowDxfId="3422"/>
    <tableColumn id="4" name="Program _x000a_Name" totalsRowLabel="N/A" totalsRowDxfId="3421"/>
    <tableColumn id="5" name="Legal_x000a_ Reference _x000a_(Ch./Year)" totalsRowLabel="N/A" totalsRowDxfId="3420"/>
    <tableColumn id="6" name="Program _x000a_Number" totalsRowLabel="N/A" totalsRowDxfId="3419"/>
    <tableColumn id="7" name="Program Payments and Offsets" totalsRowFunction="sum" dataDxfId="3418" totalsRowDxfId="3417" dataCellStyle="Currency"/>
    <tableColumn id="8" name="Interest_x000a_Payments and Offsets" totalsRowFunction="sum" dataDxfId="3416" totalsRowDxfId="3415" dataCellStyle="Currency"/>
    <tableColumn id="9" name="Total _x000a_Payments" totalsRowFunction="sum" dataDxfId="3414" totalsRowDxfId="3413" dataCellStyle="Currency"/>
  </tableColumns>
  <tableStyleInfo name="TableStyleMedium2"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1: Detail of State-Mandated Program Payments by Fiscal Year. As of August 31, 2023. Local Agencies-Annual Claim."/>
    </ext>
  </extLst>
</table>
</file>

<file path=xl/tables/table14.xml><?xml version="1.0" encoding="utf-8"?>
<table xmlns="http://schemas.openxmlformats.org/spreadsheetml/2006/main" id="110" name="schoolannualclaim22" displayName="schoolannualclaim22" ref="A2:I27" totalsRowCount="1" headerRowDxfId="3412" dataDxfId="3410" totalsRowDxfId="3408" headerRowBorderDxfId="3411" tableBorderDxfId="3409" totalsRowBorderDxfId="3407" dataCellStyle="Currency">
  <autoFilter ref="A2:I26"/>
  <tableColumns count="9">
    <tableColumn id="1" name="Program Category_x000a_and Type of Payment" totalsRowLabel="Total School Districts" dataDxfId="3406" totalsRowDxfId="3405"/>
    <tableColumn id="2" name="Fiscal_x000a_Year" totalsRowLabel="N/A" dataDxfId="3404" totalsRowDxfId="3403"/>
    <tableColumn id="3" name="Appropriation _x000a_Number" totalsRowLabel="N/A" dataDxfId="3402" totalsRowDxfId="3401"/>
    <tableColumn id="4" name="Program_x000a_Name" totalsRowLabel="N/A" dataDxfId="3400" totalsRowDxfId="3399"/>
    <tableColumn id="5" name="Legal_x000a_Reference_x000a_(Ch./Year)" totalsRowLabel="N/A" dataDxfId="3398" totalsRowDxfId="3397"/>
    <tableColumn id="6" name="Program_x000a_Number" totalsRowLabel="N/A" dataDxfId="3396" totalsRowDxfId="3395"/>
    <tableColumn id="7" name="Program _x000a_Payments and Offsets" totalsRowFunction="sum" dataDxfId="3394" totalsRowDxfId="3393" dataCellStyle="Currency"/>
    <tableColumn id="8" name="Interest_x000a_Payments and Offsets" totalsRowFunction="sum" dataDxfId="3392" totalsRowDxfId="3391" dataCellStyle="Currency"/>
    <tableColumn id="9" name="Total_x000a_Payments" totalsRowFunction="sum" dataDxfId="3390" totalsRowDxfId="338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1: Detail of State-Mandated Program Payments by Fiscal Year. As of August 31, 2023. School District-Annual Claim."/>
    </ext>
  </extLst>
</table>
</file>

<file path=xl/tables/table15.xml><?xml version="1.0" encoding="utf-8"?>
<table xmlns="http://schemas.openxmlformats.org/spreadsheetml/2006/main" id="111" name="schoolgrandtotala1" displayName="schoolgrandtotala1" ref="A29:I32" totalsRowCount="1" headerRowDxfId="3388" dataDxfId="3386" totalsRowDxfId="3384" headerRowBorderDxfId="3387" tableBorderDxfId="3385" totalsRowBorderDxfId="3383">
  <autoFilter ref="A29:I31"/>
  <tableColumns count="9">
    <tableColumn id="1" name="Program Category_x000a_and Type of Payment" totalsRowLabel="Grand Total Local Agencies and School Districts4" totalsRowDxfId="108" dataCellStyle="Hyperlink"/>
    <tableColumn id="2" name="Fiscal_x000a_Year" totalsRowLabel="Comment: All community college districts participate in the block grant program. Therefore, no payments are made to community college districts." dataDxfId="3382" totalsRowDxfId="107"/>
    <tableColumn id="3" name="Appropriation _x000a_Number" totalsRowLabel="N/A" dataDxfId="3381" totalsRowDxfId="106"/>
    <tableColumn id="4" name="Program_x000a_Name" totalsRowLabel="N/A" dataDxfId="3380" totalsRowDxfId="105"/>
    <tableColumn id="5" name="Legal_x000a_Reference_x000a_(Ch./Year)" totalsRowLabel="N/A" dataDxfId="3379" totalsRowDxfId="104"/>
    <tableColumn id="6" name="Program_x000a_Number" totalsRowLabel="N/A" dataDxfId="3378" totalsRowDxfId="103"/>
    <tableColumn id="7" name="Program _x000a_Payments and Offsets" totalsRowFunction="sum" dataDxfId="3377" totalsRowDxfId="102"/>
    <tableColumn id="8" name="Interest_x000a_Payments and Offsets" totalsRowFunction="sum" dataDxfId="3376" totalsRowDxfId="101"/>
    <tableColumn id="9" name="Total_x000a_Payments" totalsRowFunction="sum" dataDxfId="3375" totalsRowDxfId="10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1: Detail of State-Mandated Program Payments by Fiscal Year. As of August 31, 2023. Grand totals for Local Agencies and School Districts."/>
    </ext>
  </extLst>
</table>
</file>

<file path=xl/tables/table16.xml><?xml version="1.0" encoding="utf-8"?>
<table xmlns="http://schemas.openxmlformats.org/spreadsheetml/2006/main" id="1" name="scheduleblocalfunded" displayName="scheduleblocalfunded" ref="A2:P5" totalsRowCount="1" headerRowDxfId="3374" dataDxfId="3373" totalsRowDxfId="3372">
  <autoFilter ref="A2:P4"/>
  <tableColumns count="16">
    <tableColumn id="1" name="Program_x000a_Category" totalsRowLabel="Total Local Agencies" dataDxfId="3371" totalsRowDxfId="67"/>
    <tableColumn id="2" name="Comment1" totalsRowLabel="N/A" dataDxfId="3370" totalsRowDxfId="66"/>
    <tableColumn id="3" name="Fiscal_x000a_Year" totalsRowLabel="N/A" dataDxfId="3369" totalsRowDxfId="65"/>
    <tableColumn id="4" name="Schedules" totalsRowLabel="N/A" dataDxfId="3368" totalsRowDxfId="64"/>
    <tableColumn id="5" name="Program_x000a_Costs" totalsRowFunction="sum" dataDxfId="3367" totalsRowDxfId="63"/>
    <tableColumn id="6" name="Less: Net Payments and Offsets" totalsRowFunction="sum" dataDxfId="3366" totalsRowDxfId="62"/>
    <tableColumn id="7" name="Comment2" totalsRowLabel="N/A" dataDxfId="3365" totalsRowDxfId="61"/>
    <tableColumn id="8" name="Accounts Payable_x000a_Balance3" totalsRowFunction="sum" dataDxfId="3364" totalsRowDxfId="60"/>
    <tableColumn id="9" name="Comment: Amount due to local agencies, school districts, and community college districts." totalsRowLabel="N/A" dataDxfId="3363" totalsRowDxfId="59"/>
    <tableColumn id="10" name="Established_x000a_Accounts_x000a_Receivable4" totalsRowFunction="sum" dataDxfId="3362" totalsRowDxfId="58"/>
    <tableColumn id="11" name="Comment: Total accounts receivable established due to desk review and field audit claim adjustments." totalsRowLabel="N/A" dataDxfId="3361" totalsRowDxfId="57"/>
    <tableColumn id="12" name="Less: Recovered_x000a_Amount" totalsRowFunction="sum" dataDxfId="3360" totalsRowDxfId="56"/>
    <tableColumn id="13" name="Accounts_x000a_Receivable_x000a_Balance5" totalsRowFunction="sum" dataDxfId="3359" totalsRowDxfId="55"/>
    <tableColumn id="14" name="Comment: Amount due from local agencies, school districts (includes ineligible charter schools), and community college districts." totalsRowLabel="N/A" dataDxfId="3358" totalsRowDxfId="54"/>
    <tableColumn id="15" name="Net_x000a_Balance6" totalsRowFunction="sum" dataDxfId="3357" totalsRowDxfId="53"/>
    <tableColumn id="16" name="Comment: Net amount of deficiencies and surpluses. (A/P Balance less A/R Balance equals Net Balance.)" totalsRowLabel="N/A" dataDxfId="3356" totalsRowDxfId="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: Summary of Funded and Unfunded State-Mandated Programs. As of August 31, 2023. Local Agencies-Funded."/>
    </ext>
  </extLst>
</table>
</file>

<file path=xl/tables/table17.xml><?xml version="1.0" encoding="utf-8"?>
<table xmlns="http://schemas.openxmlformats.org/spreadsheetml/2006/main" id="2" name="schedulebsdandccdfunded" displayName="schedulebsdandccdfunded" ref="A7:P11" totalsRowCount="1" headerRowDxfId="3355" dataDxfId="3354" totalsRowDxfId="3353">
  <autoFilter ref="A7:P10"/>
  <tableColumns count="16">
    <tableColumn id="1" name="Program_x000a_Category" totalsRowLabel="Total School Districts and Community College Districts" dataDxfId="3352" totalsRowDxfId="51"/>
    <tableColumn id="2" name="Comment1" totalsRowLabel="N/A" dataDxfId="3351" totalsRowDxfId="50"/>
    <tableColumn id="3" name="Fiscal_x000a_Year" totalsRowLabel="N/A" dataDxfId="3350" totalsRowDxfId="49"/>
    <tableColumn id="4" name="Schedules" totalsRowLabel="N/A" dataDxfId="3349" totalsRowDxfId="48"/>
    <tableColumn id="5" name="Program_x000a_Costs" totalsRowFunction="sum" dataDxfId="3348" totalsRowDxfId="47"/>
    <tableColumn id="6" name="Less: Net Payments and Offsets" totalsRowFunction="sum" dataDxfId="3347" totalsRowDxfId="46"/>
    <tableColumn id="7" name="Comment2" totalsRowLabel="N/A" dataDxfId="3346" totalsRowDxfId="45"/>
    <tableColumn id="8" name="Accounts Payable_x000a_Balance3" totalsRowFunction="sum" dataDxfId="3345" totalsRowDxfId="44"/>
    <tableColumn id="9" name="Comment3" totalsRowLabel="N/A" dataDxfId="3344" totalsRowDxfId="43"/>
    <tableColumn id="10" name="Established_x000a_Accounts_x000a_Receivable4" totalsRowFunction="sum" dataDxfId="3343" totalsRowDxfId="42"/>
    <tableColumn id="11" name="Comment4" totalsRowLabel="N/A" dataDxfId="3342" totalsRowDxfId="41"/>
    <tableColumn id="12" name="Less: Recovered_x000a_Amount" totalsRowFunction="sum" dataDxfId="3341" totalsRowDxfId="40"/>
    <tableColumn id="13" name="Accounts_x000a_Receivable_x000a_Balance5" totalsRowFunction="sum" dataDxfId="3340" totalsRowDxfId="39"/>
    <tableColumn id="14" name="Comment5" totalsRowLabel="N/A" dataDxfId="3339" totalsRowDxfId="38"/>
    <tableColumn id="15" name="Net_x000a_Balance6" totalsRowFunction="sum" dataDxfId="3338" totalsRowDxfId="37"/>
    <tableColumn id="16" name="Comment6" totalsRowLabel="N/A" dataDxfId="3337" totalsRowDxfId="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: Summary of Funded and Unfunded State-Mandated Programs. As of August 31, 2023. School Districts and Community College Districts-Funded."/>
    </ext>
  </extLst>
</table>
</file>

<file path=xl/tables/table18.xml><?xml version="1.0" encoding="utf-8"?>
<table xmlns="http://schemas.openxmlformats.org/spreadsheetml/2006/main" id="3" name="fundedmandatesgrandtotal" displayName="fundedmandatesgrandtotal" ref="A13:P17" totalsRowCount="1" headerRowDxfId="3336" dataDxfId="3335" totalsRowDxfId="3334">
  <autoFilter ref="A13:P16"/>
  <tableColumns count="16">
    <tableColumn id="1" name="Program_x000a_Category" totalsRowLabel="Total Schedule B1: Funded Mandates7" dataDxfId="3333" totalsRowDxfId="99"/>
    <tableColumn id="2" name="Comment1" totalsRowLabel="Comment: State-mandated programs appropriated for payments in the Budget Act (funded) and programs without appropriations (unfunded). " dataDxfId="3332" totalsRowDxfId="98"/>
    <tableColumn id="3" name="Fiscal_x000a_Year" totalsRowLabel="N/A" dataDxfId="3331" totalsRowDxfId="97"/>
    <tableColumn id="4" name="Schedules" totalsRowLabel="N/A" dataDxfId="3330" totalsRowDxfId="96"/>
    <tableColumn id="5" name="Program_x000a_Costs" totalsRowFunction="sum" dataDxfId="3329" totalsRowDxfId="95"/>
    <tableColumn id="6" name="Less: Net Payments and Offsets" totalsRowFunction="sum" dataDxfId="3328" totalsRowDxfId="94"/>
    <tableColumn id="7" name="Comment2" totalsRowLabel="N/A" dataDxfId="3327" totalsRowDxfId="93"/>
    <tableColumn id="8" name="Accounts Payable_x000a_Balance3" totalsRowFunction="sum" dataDxfId="3326" totalsRowDxfId="92"/>
    <tableColumn id="9" name="Comment3" totalsRowLabel="N/A" dataDxfId="3325" totalsRowDxfId="91"/>
    <tableColumn id="10" name="Established_x000a_Accounts_x000a_Receivable4" totalsRowFunction="sum" dataDxfId="3324" totalsRowDxfId="90"/>
    <tableColumn id="11" name="Comment4" totalsRowLabel="N/A" dataDxfId="3323" totalsRowDxfId="89"/>
    <tableColumn id="12" name="Less: Recovered_x000a_Amount" totalsRowFunction="sum" dataDxfId="3322" totalsRowDxfId="88"/>
    <tableColumn id="13" name="Accounts_x000a_Receivable_x000a_Balance5" totalsRowFunction="sum" dataDxfId="3321" totalsRowDxfId="87"/>
    <tableColumn id="14" name="Comment5" totalsRowLabel="N/A" dataDxfId="3320" totalsRowDxfId="86"/>
    <tableColumn id="15" name="Net_x000a_Balance6" totalsRowFunction="sum" dataDxfId="3319" totalsRowDxfId="85"/>
    <tableColumn id="16" name="Comment6" totalsRowLabel="N/A" dataDxfId="3318" totalsRowDxfId="84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: Summary of Funded and Unfunded State-Mandated Programs. As of August 31, 2023. Total Funded."/>
    </ext>
  </extLst>
</table>
</file>

<file path=xl/tables/table19.xml><?xml version="1.0" encoding="utf-8"?>
<table xmlns="http://schemas.openxmlformats.org/spreadsheetml/2006/main" id="4" name="scheduleblocalunfunded" displayName="scheduleblocalunfunded" ref="A19:P22" totalsRowCount="1" headerRowDxfId="3317" dataDxfId="3316" totalsRowDxfId="3315">
  <autoFilter ref="A19:P21"/>
  <tableColumns count="16">
    <tableColumn id="1" name="Program_x000a_Category" totalsRowLabel="Total Local Agencies" dataDxfId="3314" totalsRowDxfId="3313"/>
    <tableColumn id="2" name="Comment1" totalsRowLabel="N/A" dataDxfId="3312" totalsRowDxfId="3311"/>
    <tableColumn id="3" name="Fiscal_x000a_Year" totalsRowLabel="N/A" dataDxfId="3310" totalsRowDxfId="3309"/>
    <tableColumn id="4" name="Schedules" totalsRowLabel="N/A" dataDxfId="3308" totalsRowDxfId="3307"/>
    <tableColumn id="5" name="Program_x000a_Costs" totalsRowFunction="sum" dataDxfId="3306" totalsRowDxfId="3305"/>
    <tableColumn id="6" name="Less: Net Payments and Offsets" totalsRowFunction="sum" dataDxfId="3304" totalsRowDxfId="3303"/>
    <tableColumn id="7" name="Comment2" totalsRowLabel="N/A" dataDxfId="3302" totalsRowDxfId="3301"/>
    <tableColumn id="8" name="Accounts Payable_x000a_Balance3" totalsRowFunction="sum" dataDxfId="3300" totalsRowDxfId="3299"/>
    <tableColumn id="9" name="Comment3" totalsRowLabel="N/A" dataDxfId="3298" totalsRowDxfId="3297"/>
    <tableColumn id="10" name="Established_x000a_Accounts_x000a_Receivable4" totalsRowFunction="sum" dataDxfId="3296" totalsRowDxfId="3295"/>
    <tableColumn id="11" name="Comment4" totalsRowLabel="N/A" dataDxfId="3294" totalsRowDxfId="3293"/>
    <tableColumn id="12" name="Less: Recovered_x000a_Amount" totalsRowFunction="sum" dataDxfId="3292" totalsRowDxfId="3291"/>
    <tableColumn id="13" name="Accounts_x000a_Receivable_x000a_Balance5" totalsRowFunction="sum" dataDxfId="3290" totalsRowDxfId="3289"/>
    <tableColumn id="14" name="Comment5" totalsRowLabel="N/A" dataDxfId="3288" totalsRowDxfId="3287"/>
    <tableColumn id="15" name="Net_x000a_Balance6" totalsRowFunction="sum" dataDxfId="3286" totalsRowDxfId="3285"/>
    <tableColumn id="16" name="Comment6" totalsRowLabel="N/A" dataDxfId="3284" totalsRowDxfId="3283" dataCellStyle="Comma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: Summary of Funded and Unfunded State-Mandated Programs. As of August 31, 2023. Local Agencies-Unfunded."/>
    </ext>
  </extLst>
</table>
</file>

<file path=xl/tables/table2.xml><?xml version="1.0" encoding="utf-8"?>
<table xmlns="http://schemas.openxmlformats.org/spreadsheetml/2006/main" id="113" name="dmvnongeneralfund" displayName="dmvnongeneralfund" ref="A11:O16" totalsRowCount="1" headerRowDxfId="3733" dataDxfId="3731" totalsRowDxfId="3729" headerRowBorderDxfId="3732" tableBorderDxfId="3730" totalsRowBorderDxfId="3728">
  <autoFilter ref="A11:O15"/>
  <tableColumns count="15">
    <tableColumn id="1" name="Program Category_x000a_ and Fund" totalsRowLabel="Total Motor Vehicle Account-Non-General Fund" dataDxfId="3727" totalsRowDxfId="123"/>
    <tableColumn id="2" name="Appropriation_x000a_Number" totalsRowLabel="  N/A  " dataDxfId="3726" totalsRowDxfId="122"/>
    <tableColumn id="3" name="Legal_x000a_Reference_x000a_(Ch./Year)" totalsRowLabel="  N/A  " dataDxfId="3725" totalsRowDxfId="121"/>
    <tableColumn id="4" name="Fiscal Year of_x000a_Claims Paid" totalsRowLabel="  N/A  " dataDxfId="3724" totalsRowDxfId="120" dataCellStyle="Currency"/>
    <tableColumn id="5" name="Reversion Date" totalsRowLabel="  N/A  " dataDxfId="3723" totalsRowDxfId="119"/>
    <tableColumn id="6" name="Original_x000a_Appropriation_x000a_Amount" totalsRowFunction="sum" dataDxfId="3722" totalsRowDxfId="118"/>
    <tableColumn id="7" name="Appropriation Balances1 " totalsRowFunction="sum" dataDxfId="3721" totalsRowDxfId="117"/>
    <tableColumn id="8" name="Comment1" totalsRowLabel=" N/A   " dataDxfId="3720" totalsRowDxfId="116" dataCellStyle="Currency"/>
    <tableColumn id="9" name="Budget_x000a_Adjustments" totalsRowFunction="sum" dataDxfId="3719" totalsRowDxfId="115"/>
    <tableColumn id="10" name="N/A" totalsRowLabel=" N/A   " dataDxfId="3718" totalsRowDxfId="114" dataCellStyle="Currency"/>
    <tableColumn id="11" name="Add: Receipts_x000a_and Recovered Amounts" totalsRowFunction="sum" dataDxfId="3717" totalsRowDxfId="113"/>
    <tableColumn id="12" name="Less: Mandated Program Payments, Offsets,_x000a_and Interest_x000a_(see Schedule A1)" totalsRowFunction="sum" dataDxfId="3716" totalsRowDxfId="112"/>
    <tableColumn id="13" name="N/A2" totalsRowLabel=" N/A   " dataDxfId="3715" totalsRowDxfId="111" dataCellStyle="Currency"/>
    <tableColumn id="14" name="Less: Appropriations for Reversion" totalsRowFunction="sum" dataDxfId="3714" totalsRowDxfId="110"/>
    <tableColumn id="15" name="Appropriation Balances_x000a_as of 8/31/2023" totalsRowFunction="sum" dataDxfId="3713" totalsRowDxfId="10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" altTextSummary="Schedule A: Summary of State-Mandated Program Appropriations, Receipts, and Payments. As of August 31, 2023. For Motor Vehicle Account-Non General Fund."/>
    </ext>
  </extLst>
</table>
</file>

<file path=xl/tables/table20.xml><?xml version="1.0" encoding="utf-8"?>
<table xmlns="http://schemas.openxmlformats.org/spreadsheetml/2006/main" id="5" name="schedulebunfunded" displayName="schedulebunfunded" ref="A24:P26" totalsRowCount="1" headerRowDxfId="3282" dataDxfId="3281" totalsRowDxfId="3280">
  <autoFilter ref="A24:P25"/>
  <tableColumns count="16">
    <tableColumn id="1" name="Program_x000a_Category" totalsRowLabel="Total Schedule B2: Unfunded Mandates7,8" dataDxfId="3279" totalsRowDxfId="83"/>
    <tableColumn id="2" name="Comment1" totalsRowLabel="Comments: State-mandated programs appropriated for payments in the Budget Act (funded) and programs without appropriations (unfunded). There are no unfunded school district and community college district state-mandated programs." dataDxfId="3278" totalsRowDxfId="82"/>
    <tableColumn id="3" name="Fiscal_x000a_Year" totalsRowLabel="N/A" dataDxfId="3277" totalsRowDxfId="81"/>
    <tableColumn id="4" name="Schedules" totalsRowLabel="N/A" dataDxfId="3276" totalsRowDxfId="80"/>
    <tableColumn id="5" name="Program_x000a_Costs" totalsRowFunction="sum" dataDxfId="3275" totalsRowDxfId="79"/>
    <tableColumn id="6" name="Less: Net Payments and Offsets" totalsRowFunction="sum" dataDxfId="3274" totalsRowDxfId="78"/>
    <tableColumn id="7" name="Comment2" totalsRowLabel="N/A" dataDxfId="3273" totalsRowDxfId="77"/>
    <tableColumn id="8" name="Accounts Payable_x000a_Balance3" totalsRowFunction="sum" dataDxfId="3272" totalsRowDxfId="76"/>
    <tableColumn id="9" name="Comment3" totalsRowLabel="N/A" dataDxfId="3271" totalsRowDxfId="75"/>
    <tableColumn id="10" name="Established_x000a_Accounts_x000a_Receivable4" totalsRowFunction="sum" dataDxfId="3270" totalsRowDxfId="74"/>
    <tableColumn id="11" name="Comment4" totalsRowLabel="N/A" dataDxfId="3269" totalsRowDxfId="73"/>
    <tableColumn id="12" name="Less: Recovered_x000a_Amount" totalsRowFunction="sum" dataDxfId="3268" totalsRowDxfId="72"/>
    <tableColumn id="13" name="Accounts_x000a_Receivable_x000a_Balance5" totalsRowFunction="sum" dataDxfId="3267" totalsRowDxfId="71"/>
    <tableColumn id="14" name="Comment5" totalsRowLabel="N/A" dataDxfId="3266" totalsRowDxfId="70"/>
    <tableColumn id="15" name="Net_x000a_Balance6" totalsRowFunction="sum" dataDxfId="3265" totalsRowDxfId="69"/>
    <tableColumn id="16" name="Comment6" totalsRowLabel="N/A" dataDxfId="3264" totalsRowDxfId="6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: Summary of Funded and Unfunded State-Mandated Programs. As of August 31, 2023. Total Unfunded."/>
    </ext>
  </extLst>
</table>
</file>

<file path=xl/tables/table21.xml><?xml version="1.0" encoding="utf-8"?>
<table xmlns="http://schemas.openxmlformats.org/spreadsheetml/2006/main" id="6" name="schedulebgrandtotal" displayName="schedulebgrandtotal" ref="A28:O32" totalsRowCount="1" headerRowDxfId="3263" dataDxfId="3261" totalsRowDxfId="3259" headerRowBorderDxfId="3262" tableBorderDxfId="3260" totalsRowBorderDxfId="3258">
  <autoFilter ref="A28:O31"/>
  <tableColumns count="15">
    <tableColumn id="1" name="Program_x000a_Category" totalsRowLabel="Grand Total Local Agencies, School Districts, and Community College Districts" dataDxfId="3257" totalsRowDxfId="3256"/>
    <tableColumn id="2" name="Comment1" totalsRowLabel="N/A" dataDxfId="3255" totalsRowDxfId="3254"/>
    <tableColumn id="3" name="Fiscal_x000a_Year" totalsRowLabel="N/A" dataDxfId="3253" totalsRowDxfId="3252"/>
    <tableColumn id="4" name="Schedules" totalsRowLabel="N/A" dataDxfId="3251" totalsRowDxfId="3250"/>
    <tableColumn id="5" name="Program_x000a_Costs" totalsRowFunction="sum" dataDxfId="3249" totalsRowDxfId="3248"/>
    <tableColumn id="6" name="Less: Net Payments and Offsets" totalsRowFunction="sum" dataDxfId="3247" totalsRowDxfId="3246"/>
    <tableColumn id="7" name="Comment2" totalsRowLabel="N/A" dataDxfId="3245" totalsRowDxfId="3244"/>
    <tableColumn id="8" name="Accounts Payable_x000a_Balance3" totalsRowFunction="sum" dataDxfId="3243" totalsRowDxfId="3242"/>
    <tableColumn id="9" name="Comment3" totalsRowLabel="N/A" dataDxfId="3241" totalsRowDxfId="3240"/>
    <tableColumn id="10" name="Established_x000a_Accounts_x000a_Receivable4" totalsRowFunction="sum" dataDxfId="3239" totalsRowDxfId="3238"/>
    <tableColumn id="11" name="Comment4" totalsRowLabel="N/A" dataDxfId="3237" totalsRowDxfId="3236"/>
    <tableColumn id="12" name="Less: Recovered_x000a_Amount" totalsRowFunction="sum" dataDxfId="3235" totalsRowDxfId="3234"/>
    <tableColumn id="13" name="Accounts_x000a_Receivable_x000a_Balance5" totalsRowFunction="sum" dataDxfId="3233" totalsRowDxfId="3232"/>
    <tableColumn id="14" name="Comment5" totalsRowLabel="N/A" dataDxfId="3231" totalsRowDxfId="3230"/>
    <tableColumn id="15" name="Net_x000a_Balance6" totalsRowFunction="sum" dataDxfId="3229" totalsRowDxfId="322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: Summary of Funded and Unfunded State-Mandated Programs. As of August 31, 2023. Grand total."/>
    </ext>
  </extLst>
</table>
</file>

<file path=xl/tables/table22.xml><?xml version="1.0" encoding="utf-8"?>
<table xmlns="http://schemas.openxmlformats.org/spreadsheetml/2006/main" id="8" name="local202021" displayName="local202021" ref="A2:L8" totalsRowShown="0" headerRowDxfId="3227" dataDxfId="3225" totalsRowDxfId="3224" headerRowBorderDxfId="3226" totalsRowBorderDxfId="3223" headerRowCellStyle="Currency">
  <autoFilter ref="A2:L8"/>
  <tableColumns count="12">
    <tableColumn id="1" name="Fiscal_x000a_Year" dataDxfId="3222" totalsRowDxfId="3221"/>
    <tableColumn id="2" name="Program_x000a_Name" dataDxfId="3220" totalsRowDxfId="3219"/>
    <tableColumn id="3" name="Legal_x000a_Reference_x000a_(Ch./Year)" dataDxfId="3218" totalsRowDxfId="3217"/>
    <tableColumn id="4" name="Program _x000a_Number" dataDxfId="3216" totalsRowDxfId="3215"/>
    <tableColumn id="5" name="Program_x000a_Costs" dataDxfId="3214" totalsRowDxfId="3213"/>
    <tableColumn id="6" name="Less: Net Payments and Offsets1" dataDxfId="3212" totalsRowDxfId="3211"/>
    <tableColumn id="7" name="Comment: Local Agencies do not receive funding offsets." dataDxfId="3210" totalsRowDxfId="3209"/>
    <tableColumn id="8" name="Account_x000a_Payable _x000a_Balance" dataDxfId="3208" totalsRowDxfId="3207"/>
    <tableColumn id="9" name="Established_x000a_Account _x000a_Receivable" dataDxfId="3206" totalsRowDxfId="3205"/>
    <tableColumn id="10" name="Less: _x000a_Recovered Amount" dataDxfId="3204" totalsRowDxfId="3203"/>
    <tableColumn id="11" name="Account  Receivable_x000a_Balance" dataDxfId="3202" totalsRowDxfId="3201"/>
    <tableColumn id="12" name="Net_x000a_Balance" dataDxfId="3200" totalsRowDxfId="319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23.xml><?xml version="1.0" encoding="utf-8"?>
<table xmlns="http://schemas.openxmlformats.org/spreadsheetml/2006/main" id="9" name="local201920" displayName="local201920" ref="A32:L40" totalsRowCount="1" headerRowDxfId="3198" dataDxfId="3196" totalsRowDxfId="3194" headerRowBorderDxfId="3197" tableBorderDxfId="3195" totalsRowBorderDxfId="3193" headerRowCellStyle="Currency">
  <autoFilter ref="A32:L39"/>
  <tableColumns count="12">
    <tableColumn id="1" name="Fiscal_x000a_Year" totalsRowLabel="2019-20 Total" dataDxfId="3192" totalsRowDxfId="3191"/>
    <tableColumn id="2" name="Program_x000a_Name" totalsRowLabel="N/A" dataDxfId="3190" totalsRowDxfId="3189"/>
    <tableColumn id="3" name="Legal_x000a_Reference_x000a_(Ch./Year)" totalsRowLabel="N/A" dataDxfId="3188" totalsRowDxfId="3187"/>
    <tableColumn id="4" name="Program _x000a_Number" totalsRowLabel="N/A" dataDxfId="3186" totalsRowDxfId="3185"/>
    <tableColumn id="5" name="Program_x000a_Costs" totalsRowFunction="sum" dataDxfId="3184" totalsRowDxfId="3183" dataCellStyle="Currency"/>
    <tableColumn id="6" name="Less: Net Payments and Offsets1" totalsRowFunction="sum" dataDxfId="3182" totalsRowDxfId="3181" dataCellStyle="Currency"/>
    <tableColumn id="7" name="Comment1" totalsRowLabel="N/A" dataDxfId="3180" totalsRowDxfId="3179" dataCellStyle="Currency"/>
    <tableColumn id="8" name="Account_x000a_Payable _x000a_Balance" totalsRowFunction="sum" dataDxfId="3178" totalsRowDxfId="3177" dataCellStyle="Currency"/>
    <tableColumn id="9" name="Established_x000a_Account _x000a_Receivable" totalsRowFunction="sum" dataDxfId="3176" totalsRowDxfId="3175" dataCellStyle="Currency"/>
    <tableColumn id="10" name="Less: _x000a_Recovered Amount" totalsRowFunction="sum" dataDxfId="3174" totalsRowDxfId="3173" dataCellStyle="Currency"/>
    <tableColumn id="11" name="Account  Receivable_x000a_Balance" totalsRowFunction="sum" dataDxfId="3172" totalsRowDxfId="3171" dataCellStyle="Currency"/>
    <tableColumn id="12" name="Net_x000a_Balance" totalsRowFunction="sum" dataDxfId="3170" totalsRowDxfId="316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24.xml><?xml version="1.0" encoding="utf-8"?>
<table xmlns="http://schemas.openxmlformats.org/spreadsheetml/2006/main" id="10" name="local201819" displayName="local201819" ref="A42:L46" totalsRowCount="1" headerRowDxfId="3168" dataDxfId="3166" totalsRowDxfId="3165" headerRowBorderDxfId="3167" totalsRowBorderDxfId="3164" headerRowCellStyle="Currency">
  <autoFilter ref="A42:L45"/>
  <tableColumns count="12">
    <tableColumn id="1" name="Fiscal_x000a_Year" totalsRowLabel="2018-19 Total" dataDxfId="3163" totalsRowDxfId="3162"/>
    <tableColumn id="2" name="Program_x000a_Name" totalsRowLabel="N/A" dataDxfId="3161" totalsRowDxfId="3160"/>
    <tableColumn id="3" name="Legal_x000a_Reference_x000a_(Ch./Year)" totalsRowLabel="N/A" dataDxfId="3159" totalsRowDxfId="3158"/>
    <tableColumn id="4" name="Program _x000a_Number" totalsRowLabel="N/A" dataDxfId="3157" totalsRowDxfId="3156"/>
    <tableColumn id="5" name="Program_x000a_Costs" totalsRowFunction="sum" dataDxfId="3155" totalsRowDxfId="3154" dataCellStyle="Currency"/>
    <tableColumn id="6" name="Less: Net Payments and Offsets1" totalsRowFunction="sum" dataDxfId="3153" totalsRowDxfId="3152" dataCellStyle="Currency"/>
    <tableColumn id="7" name="Comment1" totalsRowLabel="N/A" dataDxfId="3151" totalsRowDxfId="3150"/>
    <tableColumn id="8" name="Account_x000a_Payable _x000a_Balance" totalsRowFunction="sum" dataDxfId="3149" totalsRowDxfId="3148"/>
    <tableColumn id="9" name="Established_x000a_Account _x000a_Receivable" totalsRowFunction="sum" dataDxfId="3147" totalsRowDxfId="3146"/>
    <tableColumn id="10" name="Less: _x000a_Recovered Amount" totalsRowFunction="sum" dataDxfId="3145" totalsRowDxfId="3144"/>
    <tableColumn id="11" name="Account  Receivable_x000a_Balance" totalsRowFunction="sum" dataDxfId="3143" totalsRowDxfId="3142"/>
    <tableColumn id="12" name="Net_x000a_Balance" totalsRowFunction="sum" dataDxfId="3141" totalsRowDxfId="314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25.xml><?xml version="1.0" encoding="utf-8"?>
<table xmlns="http://schemas.openxmlformats.org/spreadsheetml/2006/main" id="11" name="local201718" displayName="local201718" ref="A48:L52" totalsRowCount="1" headerRowDxfId="3139" dataDxfId="3137" totalsRowDxfId="3136" headerRowBorderDxfId="3138" totalsRowBorderDxfId="3135" headerRowCellStyle="Currency">
  <autoFilter ref="A48:L51"/>
  <tableColumns count="12">
    <tableColumn id="1" name="Fiscal_x000a_Year" totalsRowLabel="2017-18 Total" dataDxfId="3134" totalsRowDxfId="3133"/>
    <tableColumn id="2" name="Program_x000a_Name" totalsRowLabel="N/A" dataDxfId="3132" totalsRowDxfId="3131"/>
    <tableColumn id="3" name="Legal_x000a_Reference_x000a_(Ch./Year)" totalsRowLabel="N/A" dataDxfId="3130" totalsRowDxfId="3129"/>
    <tableColumn id="4" name="Program _x000a_Number" totalsRowLabel="N/A" dataDxfId="3128" totalsRowDxfId="3127"/>
    <tableColumn id="5" name="Program_x000a_Costs" totalsRowFunction="sum" dataDxfId="3126" totalsRowDxfId="3125"/>
    <tableColumn id="6" name="Less: Net Payments and Offsets1" totalsRowFunction="sum" dataDxfId="3124" totalsRowDxfId="3123"/>
    <tableColumn id="7" name="Comment1" totalsRowLabel="N/A" dataDxfId="3122" totalsRowDxfId="3121"/>
    <tableColumn id="8" name="Account_x000a_Payable _x000a_Balance" totalsRowFunction="sum" dataDxfId="3120" totalsRowDxfId="3119"/>
    <tableColumn id="9" name="Established_x000a_Account _x000a_Receivable" totalsRowFunction="sum" dataDxfId="3118" totalsRowDxfId="3117"/>
    <tableColumn id="10" name="Less: _x000a_Recovered Amount" totalsRowFunction="sum" dataDxfId="3116" totalsRowDxfId="3115"/>
    <tableColumn id="11" name="Account  Receivable_x000a_Balance" totalsRowFunction="sum" dataDxfId="3114" totalsRowDxfId="3113"/>
    <tableColumn id="12" name="Net_x000a_Balance" totalsRowFunction="sum" dataDxfId="3112" totalsRowDxfId="31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26.xml><?xml version="1.0" encoding="utf-8"?>
<table xmlns="http://schemas.openxmlformats.org/spreadsheetml/2006/main" id="12" name="local201617" displayName="local201617" ref="A54:L57" totalsRowCount="1" headerRowDxfId="3110" dataDxfId="3108" totalsRowDxfId="3106" headerRowBorderDxfId="3109" tableBorderDxfId="3107" totalsRowBorderDxfId="3105" headerRowCellStyle="Currency">
  <autoFilter ref="A54:L56"/>
  <tableColumns count="12">
    <tableColumn id="1" name="Fiscal_x000a_Year" totalsRowLabel="2016-17 Total" dataDxfId="3104" totalsRowDxfId="3103"/>
    <tableColumn id="2" name="Program_x000a_Name" totalsRowLabel="N/A" dataDxfId="3102" totalsRowDxfId="3101"/>
    <tableColumn id="3" name="Legal_x000a_Reference_x000a_(Ch./Year)" totalsRowLabel="N/A" dataDxfId="3100" totalsRowDxfId="3099"/>
    <tableColumn id="4" name="Program _x000a_Number" totalsRowLabel="N/A" dataDxfId="3098" totalsRowDxfId="3097"/>
    <tableColumn id="5" name="Program_x000a_Costs" totalsRowFunction="sum" dataDxfId="3096" totalsRowDxfId="3095"/>
    <tableColumn id="6" name="Less: Net Payments and Offsets1" totalsRowFunction="sum" dataDxfId="3094" totalsRowDxfId="3093"/>
    <tableColumn id="7" name="Comment1" totalsRowLabel="N/A" dataDxfId="3092" totalsRowDxfId="3091"/>
    <tableColumn id="8" name="Account_x000a_Payable _x000a_Balance" totalsRowFunction="sum" dataDxfId="3090" totalsRowDxfId="3089"/>
    <tableColumn id="9" name="Established_x000a_Account _x000a_Receivable" totalsRowFunction="sum" dataDxfId="3088" totalsRowDxfId="3087"/>
    <tableColumn id="10" name="Less: _x000a_Recovered Amount" totalsRowFunction="sum" dataDxfId="3086" totalsRowDxfId="3085"/>
    <tableColumn id="11" name="Account  Receivable_x000a_Balance" totalsRowFunction="sum" dataDxfId="3084" totalsRowDxfId="3083"/>
    <tableColumn id="12" name="Net_x000a_Balance" totalsRowFunction="sum" dataDxfId="3082" totalsRowDxfId="308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27.xml><?xml version="1.0" encoding="utf-8"?>
<table xmlns="http://schemas.openxmlformats.org/spreadsheetml/2006/main" id="13" name="local201516" displayName="local201516" ref="A59:L62" totalsRowCount="1" headerRowDxfId="3080" dataDxfId="3078" totalsRowDxfId="3077" headerRowBorderDxfId="3079" totalsRowBorderDxfId="3076" headerRowCellStyle="Currency">
  <autoFilter ref="A59:L61"/>
  <tableColumns count="12">
    <tableColumn id="1" name="Fiscal_x000a_Year" totalsRowLabel="2015-16 Total" dataDxfId="3075" totalsRowDxfId="3074"/>
    <tableColumn id="2" name="Program_x000a_Name" totalsRowLabel="N/A" dataDxfId="3073" totalsRowDxfId="3072"/>
    <tableColumn id="3" name="Legal_x000a_Reference_x000a_(Ch./Year)" totalsRowLabel="N/A" dataDxfId="3071" totalsRowDxfId="3070"/>
    <tableColumn id="4" name="Program _x000a_Number" totalsRowLabel="N/A" dataDxfId="3069" totalsRowDxfId="3068"/>
    <tableColumn id="5" name="Program_x000a_Costs" totalsRowFunction="sum" dataDxfId="3067" totalsRowDxfId="3066" dataCellStyle="Currency"/>
    <tableColumn id="6" name="Less: Net Payments and Offsets1" totalsRowFunction="sum" dataDxfId="3065" totalsRowDxfId="3064" dataCellStyle="Currency"/>
    <tableColumn id="7" name="Comment1" totalsRowLabel="N/A" dataDxfId="3063" totalsRowDxfId="3062"/>
    <tableColumn id="8" name="Account_x000a_Payable _x000a_Balance" totalsRowFunction="sum" dataDxfId="3061" totalsRowDxfId="3060"/>
    <tableColumn id="9" name="Established_x000a_Account _x000a_Receivable" totalsRowFunction="sum" dataDxfId="3059" totalsRowDxfId="3058"/>
    <tableColumn id="10" name="Less: _x000a_Recovered Amount" totalsRowFunction="sum" dataDxfId="3057" totalsRowDxfId="3056"/>
    <tableColumn id="11" name="Account  Receivable_x000a_Balance" totalsRowFunction="sum" dataDxfId="3055" totalsRowDxfId="3054"/>
    <tableColumn id="12" name="Net_x000a_Balance" totalsRowFunction="sum" dataDxfId="3053" totalsRowDxfId="30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28.xml><?xml version="1.0" encoding="utf-8"?>
<table xmlns="http://schemas.openxmlformats.org/spreadsheetml/2006/main" id="14" name="local201415" displayName="local201415" ref="A64:L66" totalsRowCount="1" headerRowDxfId="3051" dataDxfId="3049" totalsRowDxfId="3047" headerRowBorderDxfId="3050" tableBorderDxfId="3048" totalsRowBorderDxfId="3046" headerRowCellStyle="Currency">
  <autoFilter ref="A64:L65"/>
  <tableColumns count="12">
    <tableColumn id="1" name="Fiscal_x000a_Year" totalsRowLabel="2014-15 Total" dataDxfId="3045" totalsRowDxfId="3044"/>
    <tableColumn id="2" name="Program_x000a_Name" totalsRowLabel="N/A" dataDxfId="3043" totalsRowDxfId="3042"/>
    <tableColumn id="3" name="Legal_x000a_Reference_x000a_(Ch./Year)" totalsRowLabel="N/A" dataDxfId="3041" totalsRowDxfId="3040"/>
    <tableColumn id="4" name="Program _x000a_Number" totalsRowLabel="N/A" dataDxfId="3039" totalsRowDxfId="3038"/>
    <tableColumn id="5" name="Program_x000a_Costs" totalsRowFunction="sum" dataDxfId="3037" totalsRowDxfId="3036" dataCellStyle="Currency"/>
    <tableColumn id="6" name="Less: Net Payments and Offsets1" totalsRowFunction="sum" dataDxfId="3035" totalsRowDxfId="3034" dataCellStyle="Currency"/>
    <tableColumn id="7" name="Comment1" totalsRowLabel="N/A" dataDxfId="3033" totalsRowDxfId="3032"/>
    <tableColumn id="8" name="Account_x000a_Payable _x000a_Balance" totalsRowFunction="sum" dataDxfId="3031" totalsRowDxfId="3030"/>
    <tableColumn id="9" name="Established_x000a_Account _x000a_Receivable" totalsRowFunction="sum" dataDxfId="3029" totalsRowDxfId="3028"/>
    <tableColumn id="10" name="Less: _x000a_Recovered Amount" totalsRowFunction="sum" dataDxfId="3027" totalsRowDxfId="3026"/>
    <tableColumn id="11" name="Account  Receivable_x000a_Balance" totalsRowFunction="sum" dataDxfId="3025" totalsRowDxfId="3024"/>
    <tableColumn id="12" name="Net_x000a_Balance" totalsRowFunction="sum" dataDxfId="3023" totalsRowDxfId="30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29.xml><?xml version="1.0" encoding="utf-8"?>
<table xmlns="http://schemas.openxmlformats.org/spreadsheetml/2006/main" id="15" name="local201314" displayName="local201314" ref="A68:L71" totalsRowCount="1" headerRowDxfId="3021" dataDxfId="3019" totalsRowDxfId="3017" headerRowBorderDxfId="3020" tableBorderDxfId="3018" totalsRowBorderDxfId="3016" headerRowCellStyle="Currency">
  <autoFilter ref="A68:L70"/>
  <tableColumns count="12">
    <tableColumn id="1" name="Fiscal_x000a_Year" totalsRowLabel="2013-14 Total" dataDxfId="3015" totalsRowDxfId="3014"/>
    <tableColumn id="2" name="Program_x000a_Name" totalsRowLabel="N/A" dataDxfId="3013" totalsRowDxfId="3012"/>
    <tableColumn id="3" name="Legal_x000a_Reference_x000a_(Ch./Year)" totalsRowLabel="N/A" dataDxfId="3011" totalsRowDxfId="3010"/>
    <tableColumn id="4" name="Program _x000a_Number" totalsRowLabel="N/A" dataDxfId="3009" totalsRowDxfId="3008"/>
    <tableColumn id="5" name="Program_x000a_Costs" totalsRowFunction="sum" dataDxfId="3007" totalsRowDxfId="3006" dataCellStyle="Currency"/>
    <tableColumn id="6" name="Less: Net Payments and Offsets1" totalsRowFunction="sum" dataDxfId="3005" totalsRowDxfId="3004" dataCellStyle="Currency"/>
    <tableColumn id="7" name="Comment1" totalsRowLabel="N/A" dataDxfId="3003" totalsRowDxfId="3002"/>
    <tableColumn id="8" name="Account_x000a_Payable _x000a_Balance" totalsRowFunction="sum" dataDxfId="3001" totalsRowDxfId="3000"/>
    <tableColumn id="9" name="Established_x000a_Account _x000a_Receivable" totalsRowFunction="sum" dataDxfId="2999" totalsRowDxfId="2998"/>
    <tableColumn id="10" name="Less: _x000a_Recovered Amount" totalsRowFunction="sum" dataDxfId="2997" totalsRowDxfId="2996"/>
    <tableColumn id="11" name="Account  Receivable_x000a_Balance" totalsRowFunction="sum" dataDxfId="2995" totalsRowDxfId="2994"/>
    <tableColumn id="12" name="Net_x000a_Balance" totalsRowFunction="sum" dataDxfId="2993" totalsRowDxfId="29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.xml><?xml version="1.0" encoding="utf-8"?>
<table xmlns="http://schemas.openxmlformats.org/spreadsheetml/2006/main" id="114" name="pestnongeneralfund" displayName="pestnongeneralfund" ref="A18:O23" totalsRowCount="1" headerRowDxfId="3712" dataDxfId="3710" totalsRowDxfId="3708" headerRowBorderDxfId="3711" tableBorderDxfId="3709" totalsRowBorderDxfId="3707">
  <autoFilter ref="A18:O22"/>
  <tableColumns count="15">
    <tableColumn id="1" name="Program Category_x000a_ and Fund" totalsRowLabel="Total Pesticide Regulation-Non-General Fund" dataDxfId="3706" totalsRowDxfId="3705"/>
    <tableColumn id="2" name="Appropriation_x000a_Number" totalsRowLabel="   N/A   " dataDxfId="3704" totalsRowDxfId="3703"/>
    <tableColumn id="3" name="Legal_x000a_Reference_x000a_(Ch./Year)" totalsRowLabel="   N/A   " dataDxfId="3702" totalsRowDxfId="3701"/>
    <tableColumn id="4" name="Fiscal Year of_x000a_Claims Paid" totalsRowLabel="   N/A   " dataDxfId="3700" totalsRowDxfId="3699"/>
    <tableColumn id="5" name="Reversion Date" totalsRowLabel="   N/A   " dataDxfId="3698" totalsRowDxfId="3697"/>
    <tableColumn id="6" name="Original_x000a_Appropriation_x000a_Amount" totalsRowFunction="sum" dataDxfId="3696" totalsRowDxfId="3695"/>
    <tableColumn id="7" name="Appropriation Balances1 " totalsRowFunction="sum" dataDxfId="3694" totalsRowDxfId="3693"/>
    <tableColumn id="8" name="Comment1" totalsRowLabel="   N/A   " dataDxfId="3692" totalsRowDxfId="3691" dataCellStyle="Currency"/>
    <tableColumn id="9" name="Budget_x000a_Adjustments" totalsRowFunction="sum" dataDxfId="3690" totalsRowDxfId="3689"/>
    <tableColumn id="10" name="N/A" totalsRowLabel="   N/A   " dataDxfId="3688" totalsRowDxfId="3687" dataCellStyle="Currency"/>
    <tableColumn id="11" name="Add: Receipts_x000a_and Recovered Amounts" totalsRowFunction="sum" dataDxfId="3686" totalsRowDxfId="3685"/>
    <tableColumn id="12" name="Less: Mandated Program Payments, Offsets,_x000a_and Interest_x000a_(see Schedule A1)" totalsRowFunction="sum" dataDxfId="3684" totalsRowDxfId="3683"/>
    <tableColumn id="13" name="N/A2" totalsRowLabel="   N/A   " dataDxfId="3682" totalsRowDxfId="3681" dataCellStyle="Currency"/>
    <tableColumn id="14" name="Less: Appropriations for Reversion" totalsRowFunction="sum" dataDxfId="3680" totalsRowDxfId="3679"/>
    <tableColumn id="15" name="Appropriation Balances_x000a_as of 8/31/2023" totalsRowFunction="sum" dataDxfId="3678" totalsRowDxfId="367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: Summary of State-Mandated Program Appropriations, Receipts, and Payments. As of August 31, 2023. For Pesticide Regulation-Non General Fund."/>
    </ext>
  </extLst>
</table>
</file>

<file path=xl/tables/table30.xml><?xml version="1.0" encoding="utf-8"?>
<table xmlns="http://schemas.openxmlformats.org/spreadsheetml/2006/main" id="16" name="local201213" displayName="local201213" ref="A73:L75" totalsRowCount="1" headerRowDxfId="2991" dataDxfId="2989" totalsRowDxfId="2987" headerRowBorderDxfId="2990" tableBorderDxfId="2988" totalsRowBorderDxfId="2986" headerRowCellStyle="Currency">
  <autoFilter ref="A73:L74"/>
  <tableColumns count="12">
    <tableColumn id="1" name="Fiscal_x000a_Year" totalsRowLabel="2012-13 Total" dataDxfId="2985" totalsRowDxfId="2984"/>
    <tableColumn id="2" name="Program_x000a_Name" totalsRowLabel="N/A" dataDxfId="2983" totalsRowDxfId="2982"/>
    <tableColumn id="3" name="Legal_x000a_Reference_x000a_(Ch./Year)" totalsRowLabel="N/A" dataDxfId="2981" totalsRowDxfId="2980"/>
    <tableColumn id="4" name="Program _x000a_Number" totalsRowLabel="N/A" dataDxfId="2979" totalsRowDxfId="2978"/>
    <tableColumn id="5" name="Program_x000a_Costs" totalsRowFunction="sum" dataDxfId="2977" totalsRowDxfId="2976" dataCellStyle="Currency"/>
    <tableColumn id="6" name="Less: Net Payments and Offsets1" totalsRowFunction="sum" dataDxfId="2975" totalsRowDxfId="2974" dataCellStyle="Currency"/>
    <tableColumn id="7" name="Comment1" totalsRowLabel="N/A" dataDxfId="2973" totalsRowDxfId="2972"/>
    <tableColumn id="8" name="Account_x000a_Payable _x000a_Balance" totalsRowFunction="sum" dataDxfId="2971" totalsRowDxfId="2970"/>
    <tableColumn id="9" name="Established_x000a_Account _x000a_Receivable" totalsRowFunction="sum" dataDxfId="2969" totalsRowDxfId="2968"/>
    <tableColumn id="10" name="Less: _x000a_Recovered Amount" totalsRowFunction="sum" dataDxfId="2967" totalsRowDxfId="2966"/>
    <tableColumn id="11" name="Account  Receivable_x000a_Balance" totalsRowFunction="sum" dataDxfId="2965" totalsRowDxfId="2964"/>
    <tableColumn id="12" name="Net_x000a_Balance" totalsRowFunction="sum" dataDxfId="2963" totalsRowDxfId="29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1.xml><?xml version="1.0" encoding="utf-8"?>
<table xmlns="http://schemas.openxmlformats.org/spreadsheetml/2006/main" id="17" name="local201112" displayName="local201112" ref="A77:L81" totalsRowCount="1" headerRowDxfId="2961" dataDxfId="2959" totalsRowDxfId="2957" headerRowBorderDxfId="2960" tableBorderDxfId="2958" totalsRowBorderDxfId="2956" headerRowCellStyle="Currency">
  <autoFilter ref="A77:L80"/>
  <tableColumns count="12">
    <tableColumn id="1" name="Fiscal_x000a_Year" totalsRowLabel="2011-12 Total" dataDxfId="2955" totalsRowDxfId="2954"/>
    <tableColumn id="2" name="Program_x000a_Name" totalsRowLabel="N/A" dataDxfId="2953" totalsRowDxfId="2952"/>
    <tableColumn id="3" name="Legal_x000a_Reference_x000a_(Ch./Year)" totalsRowLabel="N/A" dataDxfId="2951" totalsRowDxfId="2950"/>
    <tableColumn id="4" name="Program _x000a_Number" totalsRowLabel="N/A" dataDxfId="2949" totalsRowDxfId="2948"/>
    <tableColumn id="5" name="Program_x000a_Costs" totalsRowFunction="sum" dataDxfId="2947" totalsRowDxfId="2946" dataCellStyle="Currency"/>
    <tableColumn id="6" name="Less: Net Payments and Offsets1" totalsRowFunction="sum" dataDxfId="2945" totalsRowDxfId="2944"/>
    <tableColumn id="7" name="Comment1" totalsRowLabel="N/A" dataDxfId="2943" totalsRowDxfId="2942"/>
    <tableColumn id="8" name="Account_x000a_Payable _x000a_Balance" totalsRowFunction="sum" dataDxfId="2941" totalsRowDxfId="2940"/>
    <tableColumn id="9" name="Established_x000a_Account _x000a_Receivable" totalsRowFunction="sum" dataDxfId="2939" totalsRowDxfId="2938"/>
    <tableColumn id="10" name="Less: _x000a_Recovered Amount" totalsRowFunction="sum" dataDxfId="2937" totalsRowDxfId="2936"/>
    <tableColumn id="11" name="Account  Receivable_x000a_Balance" totalsRowFunction="sum" dataDxfId="2935" totalsRowDxfId="2934"/>
    <tableColumn id="12" name="Net_x000a_Balance" totalsRowFunction="sum" dataDxfId="2933" totalsRowDxfId="29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2.xml><?xml version="1.0" encoding="utf-8"?>
<table xmlns="http://schemas.openxmlformats.org/spreadsheetml/2006/main" id="18" name="local201011" displayName="local201011" ref="A83:L93" totalsRowCount="1" headerRowDxfId="2931" dataDxfId="2929" totalsRowDxfId="2927" headerRowBorderDxfId="2930" tableBorderDxfId="2928" totalsRowBorderDxfId="2926" headerRowCellStyle="Currency">
  <autoFilter ref="A83:L92"/>
  <tableColumns count="12">
    <tableColumn id="1" name="Fiscal_x000a_Year" totalsRowLabel="2010-11 Total" dataDxfId="2925" totalsRowDxfId="2924"/>
    <tableColumn id="2" name="Program_x000a_Name" totalsRowLabel="N/A" dataDxfId="2923" totalsRowDxfId="2922"/>
    <tableColumn id="3" name="Legal_x000a_Reference_x000a_(Ch./Year)" totalsRowLabel="N/A" dataDxfId="2921" totalsRowDxfId="2920"/>
    <tableColumn id="4" name="Program _x000a_Number" totalsRowLabel="N/A" dataDxfId="2919" totalsRowDxfId="2918"/>
    <tableColumn id="5" name="Program_x000a_Costs" totalsRowFunction="sum" dataDxfId="2917" totalsRowDxfId="2916" dataCellStyle="Currency"/>
    <tableColumn id="6" name="Less: Net Payments and Offsets1" totalsRowFunction="sum" dataDxfId="2915" totalsRowDxfId="2914" dataCellStyle="Currency"/>
    <tableColumn id="7" name="Comment1" totalsRowLabel="N/A" dataDxfId="2913" totalsRowDxfId="2912"/>
    <tableColumn id="8" name="Account_x000a_Payable _x000a_Balance" totalsRowFunction="sum" dataDxfId="2911" totalsRowDxfId="2910"/>
    <tableColumn id="9" name="Established_x000a_Account _x000a_Receivable" totalsRowFunction="sum" dataDxfId="2909" totalsRowDxfId="2908"/>
    <tableColumn id="10" name="Less: _x000a_Recovered Amount" totalsRowFunction="sum" dataDxfId="2907" totalsRowDxfId="2906"/>
    <tableColumn id="11" name="Account  Receivable_x000a_Balance" totalsRowFunction="sum" dataDxfId="2905" totalsRowDxfId="2904"/>
    <tableColumn id="12" name="Net_x000a_Balance" totalsRowFunction="sum" dataDxfId="2903" totalsRowDxfId="29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3.xml><?xml version="1.0" encoding="utf-8"?>
<table xmlns="http://schemas.openxmlformats.org/spreadsheetml/2006/main" id="19" name="local200910" displayName="local200910" ref="A95:L122" totalsRowCount="1" headerRowDxfId="2901" dataDxfId="2899" totalsRowDxfId="2897" headerRowBorderDxfId="2900" tableBorderDxfId="2898" totalsRowBorderDxfId="2896" headerRowCellStyle="Currency">
  <autoFilter ref="A95:L121"/>
  <tableColumns count="12">
    <tableColumn id="1" name="Fiscal_x000a_Year" totalsRowLabel="2009-10 Total" dataDxfId="2895" totalsRowDxfId="2894"/>
    <tableColumn id="2" name="Program_x000a_Name" totalsRowLabel="N/A" dataDxfId="2893" totalsRowDxfId="2892"/>
    <tableColumn id="3" name="Legal_x000a_Reference_x000a_(Ch./Year)" totalsRowLabel="N/A" dataDxfId="2891" totalsRowDxfId="2890"/>
    <tableColumn id="4" name="Program _x000a_Number" totalsRowLabel="N/A" dataDxfId="2889" totalsRowDxfId="2888"/>
    <tableColumn id="5" name="Program_x000a_Costs" totalsRowFunction="sum" dataDxfId="2887" totalsRowDxfId="2886" dataCellStyle="Currency"/>
    <tableColumn id="6" name="Less: Net Payments and Offsets1" totalsRowFunction="sum" dataDxfId="2885" totalsRowDxfId="2884" dataCellStyle="Currency"/>
    <tableColumn id="7" name="Comment1" totalsRowLabel="N/A" dataDxfId="2883" totalsRowDxfId="2882"/>
    <tableColumn id="8" name="Account_x000a_Payable _x000a_Balance" totalsRowFunction="sum" dataDxfId="2881" totalsRowDxfId="2880"/>
    <tableColumn id="9" name="Established_x000a_Account _x000a_Receivable" totalsRowFunction="sum" dataDxfId="2879" totalsRowDxfId="2878"/>
    <tableColumn id="10" name="Less: _x000a_Recovered Amount" totalsRowFunction="sum" dataDxfId="2877" totalsRowDxfId="2876"/>
    <tableColumn id="11" name="Account  Receivable_x000a_Balance" totalsRowFunction="sum" dataDxfId="2875" totalsRowDxfId="2874"/>
    <tableColumn id="12" name="Net_x000a_Balance" totalsRowFunction="sum" dataDxfId="2873" totalsRowDxfId="287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4.xml><?xml version="1.0" encoding="utf-8"?>
<table xmlns="http://schemas.openxmlformats.org/spreadsheetml/2006/main" id="20" name="local200809" displayName="local200809" ref="A124:L149" totalsRowCount="1" headerRowDxfId="2871" dataDxfId="2869" totalsRowDxfId="2867" headerRowBorderDxfId="2870" tableBorderDxfId="2868" totalsRowBorderDxfId="2866" headerRowCellStyle="Currency">
  <autoFilter ref="A124:L148"/>
  <tableColumns count="12">
    <tableColumn id="1" name="Fiscal_x000a_Year" totalsRowLabel="2008-09 Total" dataDxfId="2865" totalsRowDxfId="2864"/>
    <tableColumn id="2" name="Program_x000a_Name" totalsRowLabel="N/A" dataDxfId="2863" totalsRowDxfId="2862"/>
    <tableColumn id="3" name="Legal_x000a_Reference_x000a_(Ch./Year)" totalsRowLabel="N/A" dataDxfId="2861" totalsRowDxfId="2860"/>
    <tableColumn id="4" name="Program _x000a_Number" totalsRowLabel="N/A" dataDxfId="2859" totalsRowDxfId="2858"/>
    <tableColumn id="5" name="Program_x000a_Costs" totalsRowFunction="sum" dataDxfId="2857" totalsRowDxfId="2856" dataCellStyle="Currency"/>
    <tableColumn id="6" name="Less: Net Payments and Offsets1" totalsRowFunction="sum" dataDxfId="2855" totalsRowDxfId="2854" dataCellStyle="Currency"/>
    <tableColumn id="7" name="Comment1" totalsRowLabel="N/A" dataDxfId="2853" totalsRowDxfId="2852"/>
    <tableColumn id="8" name="Account_x000a_Payable _x000a_Balance" totalsRowFunction="sum" dataDxfId="2851" totalsRowDxfId="2850"/>
    <tableColumn id="9" name="Established_x000a_Account _x000a_Receivable" totalsRowFunction="sum" dataDxfId="2849" totalsRowDxfId="2848"/>
    <tableColumn id="10" name="Less: _x000a_Recovered Amount" totalsRowFunction="sum" dataDxfId="2847" totalsRowDxfId="2846"/>
    <tableColumn id="11" name="Account  Receivable_x000a_Balance" totalsRowFunction="sum" dataDxfId="2845" totalsRowDxfId="2844"/>
    <tableColumn id="12" name="Net_x000a_Balance" totalsRowFunction="sum" dataDxfId="2843" totalsRowDxfId="284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5.xml><?xml version="1.0" encoding="utf-8"?>
<table xmlns="http://schemas.openxmlformats.org/spreadsheetml/2006/main" id="21" name="local200708" displayName="local200708" ref="A151:L179" totalsRowCount="1" headerRowDxfId="2841" dataDxfId="2839" totalsRowDxfId="2837" headerRowBorderDxfId="2840" tableBorderDxfId="2838" totalsRowBorderDxfId="2836" headerRowCellStyle="Currency">
  <autoFilter ref="A151:L178"/>
  <tableColumns count="12">
    <tableColumn id="1" name="Fiscal_x000a_Year" totalsRowLabel="2007-08 Total" dataDxfId="2835" totalsRowDxfId="2834"/>
    <tableColumn id="2" name="Program_x000a_Name" totalsRowLabel="N/A" dataDxfId="2833" totalsRowDxfId="2832"/>
    <tableColumn id="3" name="Legal_x000a_Reference_x000a_(Ch./Year)" totalsRowLabel="N/A" dataDxfId="2831" totalsRowDxfId="2830"/>
    <tableColumn id="4" name="Program _x000a_Number" totalsRowLabel="N/A" dataDxfId="2829" totalsRowDxfId="2828"/>
    <tableColumn id="5" name="Program_x000a_Costs" totalsRowFunction="sum" dataDxfId="2827" totalsRowDxfId="2826" dataCellStyle="Currency"/>
    <tableColumn id="6" name="Less: Net Payments and Offsets1" totalsRowFunction="sum" dataDxfId="2825" totalsRowDxfId="2824" dataCellStyle="Currency"/>
    <tableColumn id="7" name="Comment1" totalsRowLabel="N/A" dataDxfId="2823" totalsRowDxfId="2822"/>
    <tableColumn id="8" name="Account_x000a_Payable _x000a_Balance" totalsRowFunction="sum" dataDxfId="2821" totalsRowDxfId="2820"/>
    <tableColumn id="9" name="Established_x000a_Account _x000a_Receivable" totalsRowFunction="sum" dataDxfId="2819" totalsRowDxfId="2818"/>
    <tableColumn id="10" name="Less: _x000a_Recovered Amount" totalsRowFunction="sum" dataDxfId="2817" totalsRowDxfId="2816"/>
    <tableColumn id="11" name="Account  Receivable_x000a_Balance" totalsRowFunction="sum" dataDxfId="2815" totalsRowDxfId="2814"/>
    <tableColumn id="12" name="Net_x000a_Balance" totalsRowFunction="sum" dataDxfId="2813" totalsRowDxfId="28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6.xml><?xml version="1.0" encoding="utf-8"?>
<table xmlns="http://schemas.openxmlformats.org/spreadsheetml/2006/main" id="22" name="local200607" displayName="local200607" ref="A181:L194" totalsRowCount="1" headerRowDxfId="2811" dataDxfId="2809" totalsRowDxfId="2807" headerRowBorderDxfId="2810" tableBorderDxfId="2808" totalsRowBorderDxfId="2806" headerRowCellStyle="Currency">
  <autoFilter ref="A181:L193"/>
  <tableColumns count="12">
    <tableColumn id="1" name="Fiscal_x000a_Year" totalsRowLabel="2006-07 Total" dataDxfId="2805" totalsRowDxfId="2804"/>
    <tableColumn id="2" name="Program_x000a_Name" totalsRowLabel="N/A" dataDxfId="2803" totalsRowDxfId="2802"/>
    <tableColumn id="3" name="Legal_x000a_Reference_x000a_(Ch./Year)" totalsRowLabel="N/A" dataDxfId="2801" totalsRowDxfId="2800"/>
    <tableColumn id="4" name="Program _x000a_Number" totalsRowLabel="N/A" dataDxfId="2799" totalsRowDxfId="2798"/>
    <tableColumn id="5" name="Program_x000a_Costs" totalsRowFunction="sum" dataDxfId="2797" totalsRowDxfId="2796" dataCellStyle="Currency"/>
    <tableColumn id="6" name="Less: Net Payments and Offsets1" totalsRowFunction="sum" dataDxfId="2795" totalsRowDxfId="2794" dataCellStyle="Currency"/>
    <tableColumn id="7" name="Comment1" totalsRowLabel="N/A" dataDxfId="2793" totalsRowDxfId="2792"/>
    <tableColumn id="8" name="Account_x000a_Payable _x000a_Balance" totalsRowFunction="sum" dataDxfId="2791" totalsRowDxfId="2790"/>
    <tableColumn id="9" name="Established_x000a_Account _x000a_Receivable" totalsRowFunction="sum" dataDxfId="2789" totalsRowDxfId="2788"/>
    <tableColumn id="10" name="Less: _x000a_Recovered Amount" totalsRowFunction="sum" dataDxfId="2787" totalsRowDxfId="2786"/>
    <tableColumn id="11" name="Account  Receivable_x000a_Balance" totalsRowFunction="sum" dataDxfId="2785" totalsRowDxfId="2784"/>
    <tableColumn id="12" name="Net_x000a_Balance" totalsRowFunction="sum" dataDxfId="2783" totalsRowDxfId="27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7.xml><?xml version="1.0" encoding="utf-8"?>
<table xmlns="http://schemas.openxmlformats.org/spreadsheetml/2006/main" id="23" name="local200506" displayName="local200506" ref="A196:L205" totalsRowCount="1" headerRowDxfId="2781" dataDxfId="2779" totalsRowDxfId="2777" headerRowBorderDxfId="2780" tableBorderDxfId="2778" totalsRowBorderDxfId="2776" headerRowCellStyle="Currency">
  <autoFilter ref="A196:L204"/>
  <tableColumns count="12">
    <tableColumn id="1" name="Fiscal_x000a_Year" totalsRowLabel="2005-06 Total" dataDxfId="2775" totalsRowDxfId="2774"/>
    <tableColumn id="2" name="Program_x000a_Name" totalsRowLabel="N/A" dataDxfId="2773" totalsRowDxfId="2772"/>
    <tableColumn id="3" name="Legal_x000a_Reference_x000a_(Ch./Year)" totalsRowLabel="N/A" dataDxfId="2771" totalsRowDxfId="2770"/>
    <tableColumn id="4" name="Program _x000a_Number" totalsRowLabel="N/A" dataDxfId="2769" totalsRowDxfId="2768"/>
    <tableColumn id="5" name="Program_x000a_Costs" totalsRowFunction="sum" dataDxfId="2767" totalsRowDxfId="2766" dataCellStyle="Currency"/>
    <tableColumn id="6" name="Less: Net Payments and Offsets1" totalsRowFunction="sum" dataDxfId="2765" totalsRowDxfId="2764" dataCellStyle="Currency"/>
    <tableColumn id="7" name="Comment1" totalsRowLabel="N/A" dataDxfId="2763" totalsRowDxfId="2762"/>
    <tableColumn id="8" name="Account_x000a_Payable _x000a_Balance" totalsRowFunction="sum" dataDxfId="2761" totalsRowDxfId="2760"/>
    <tableColumn id="9" name="Established_x000a_Account _x000a_Receivable" totalsRowFunction="sum" dataDxfId="2759" totalsRowDxfId="2758"/>
    <tableColumn id="10" name="Less: _x000a_Recovered Amount" totalsRowFunction="sum" dataDxfId="2757" totalsRowDxfId="2756"/>
    <tableColumn id="11" name="Account  Receivable_x000a_Balance" totalsRowFunction="sum" dataDxfId="2755" totalsRowDxfId="2754"/>
    <tableColumn id="12" name="Net_x000a_Balance" totalsRowFunction="sum" dataDxfId="2753" totalsRowDxfId="27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8.xml><?xml version="1.0" encoding="utf-8"?>
<table xmlns="http://schemas.openxmlformats.org/spreadsheetml/2006/main" id="24" name="local200405" displayName="local200405" ref="A207:L215" totalsRowCount="1" headerRowDxfId="2751" dataDxfId="2749" totalsRowDxfId="2747" headerRowBorderDxfId="2750" tableBorderDxfId="2748" totalsRowBorderDxfId="2746" headerRowCellStyle="Currency">
  <autoFilter ref="A207:L214"/>
  <tableColumns count="12">
    <tableColumn id="1" name="Fiscal_x000a_Year" totalsRowLabel="2004-05 Total" dataDxfId="2745" totalsRowDxfId="2744"/>
    <tableColumn id="2" name="Program_x000a_Name" totalsRowLabel="N/A" dataDxfId="2743" totalsRowDxfId="2742"/>
    <tableColumn id="3" name="Legal_x000a_Reference_x000a_(Ch./Year)" totalsRowLabel="N/A" dataDxfId="2741" totalsRowDxfId="2740"/>
    <tableColumn id="4" name="Program _x000a_Number" totalsRowLabel="N/A" dataDxfId="2739" totalsRowDxfId="2738"/>
    <tableColumn id="5" name="Program_x000a_Costs" totalsRowFunction="sum" dataDxfId="2737" totalsRowDxfId="2736" dataCellStyle="Currency"/>
    <tableColumn id="6" name="Less: Net Payments and Offsets1" totalsRowFunction="sum" dataDxfId="2735" totalsRowDxfId="2734" dataCellStyle="Currency"/>
    <tableColumn id="7" name="Comment1" totalsRowLabel="N/A" dataDxfId="2733" totalsRowDxfId="2732"/>
    <tableColumn id="8" name="Account_x000a_Payable _x000a_Balance" totalsRowFunction="sum" dataDxfId="2731" totalsRowDxfId="2730"/>
    <tableColumn id="9" name="Established_x000a_Account _x000a_Receivable" totalsRowFunction="sum" dataDxfId="2729" totalsRowDxfId="2728"/>
    <tableColumn id="10" name="Less: _x000a_Recovered Amount" totalsRowFunction="sum" dataDxfId="2727" totalsRowDxfId="2726"/>
    <tableColumn id="11" name="Account  Receivable_x000a_Balance" totalsRowFunction="sum" dataDxfId="2725" totalsRowDxfId="2724"/>
    <tableColumn id="12" name="Net_x000a_Balance" totalsRowFunction="sum" dataDxfId="2723" totalsRowDxfId="27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39.xml><?xml version="1.0" encoding="utf-8"?>
<table xmlns="http://schemas.openxmlformats.org/spreadsheetml/2006/main" id="25" name="local200304" displayName="local200304" ref="A217:L221" totalsRowCount="1" headerRowDxfId="2721" dataDxfId="2719" totalsRowDxfId="2717" headerRowBorderDxfId="2720" tableBorderDxfId="2718" totalsRowBorderDxfId="2716" headerRowCellStyle="Currency">
  <autoFilter ref="A217:L220"/>
  <tableColumns count="12">
    <tableColumn id="1" name="Fiscal_x000a_Year" totalsRowLabel="2003-04 Total" dataDxfId="2715" totalsRowDxfId="2714"/>
    <tableColumn id="2" name="Program_x000a_Name" totalsRowLabel="N/A" dataDxfId="2713" totalsRowDxfId="2712"/>
    <tableColumn id="3" name="Legal_x000a_Reference_x000a_(Ch./Year)" totalsRowLabel="N/A" dataDxfId="2711" totalsRowDxfId="2710"/>
    <tableColumn id="4" name="Program _x000a_Number" totalsRowLabel="N/A" dataDxfId="2709" totalsRowDxfId="2708"/>
    <tableColumn id="5" name="Program_x000a_Costs" totalsRowFunction="sum" dataDxfId="2707" totalsRowDxfId="2706" dataCellStyle="Currency"/>
    <tableColumn id="6" name="Less: Net Payments and Offsets1" totalsRowFunction="sum" dataDxfId="2705" totalsRowDxfId="2704" dataCellStyle="Currency"/>
    <tableColumn id="7" name="Comment1" totalsRowLabel="N/A" dataDxfId="2703" totalsRowDxfId="2702"/>
    <tableColumn id="8" name="Account_x000a_Payable _x000a_Balance" totalsRowFunction="sum" dataDxfId="2701" totalsRowDxfId="2700"/>
    <tableColumn id="9" name="Established_x000a_Account _x000a_Receivable" totalsRowFunction="sum" dataDxfId="2699" totalsRowDxfId="2698"/>
    <tableColumn id="10" name="Less: _x000a_Recovered Amount" totalsRowFunction="sum" dataDxfId="2697" totalsRowDxfId="2696"/>
    <tableColumn id="11" name="Account  Receivable_x000a_Balance" totalsRowFunction="sum" dataDxfId="2695" totalsRowDxfId="2694"/>
    <tableColumn id="12" name="Net_x000a_Balance" totalsRowFunction="sum" dataDxfId="2693" totalsRowDxfId="26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4.xml><?xml version="1.0" encoding="utf-8"?>
<table xmlns="http://schemas.openxmlformats.org/spreadsheetml/2006/main" id="115" name="sdgeneralfund" displayName="sdgeneralfund" ref="A25:O30" totalsRowCount="1" headerRowDxfId="3676" dataDxfId="3674" totalsRowDxfId="3672" headerRowBorderDxfId="3675" tableBorderDxfId="3673" totalsRowBorderDxfId="3671">
  <autoFilter ref="A25:O29"/>
  <tableColumns count="15">
    <tableColumn id="1" name="Program Category_x000a_ and Fund" totalsRowLabel="Total School Districts-General Fund" dataDxfId="3670" totalsRowDxfId="3669"/>
    <tableColumn id="2" name="Appropriation_x000a_Number" totalsRowLabel="    N/A    " dataDxfId="3668" totalsRowDxfId="3667"/>
    <tableColumn id="3" name="Legal_x000a_Reference_x000a_(Ch./Year)" totalsRowLabel="    N/A    " dataDxfId="3666" totalsRowDxfId="3665"/>
    <tableColumn id="4" name="Fiscal Year of_x000a_Claims Paid" totalsRowLabel="    N/A    " dataDxfId="3664" totalsRowDxfId="3663"/>
    <tableColumn id="5" name="Reversion Date" totalsRowLabel="    N/A    " dataDxfId="3662" totalsRowDxfId="3661"/>
    <tableColumn id="6" name="Original_x000a_Appropriation_x000a_Amount" totalsRowFunction="sum" dataDxfId="3660" totalsRowDxfId="3659"/>
    <tableColumn id="7" name="Appropriation Balances1 " totalsRowFunction="sum" dataDxfId="3658" totalsRowDxfId="3657"/>
    <tableColumn id="8" name="Comment1" totalsRowLabel="    N/A    " dataDxfId="3656" totalsRowDxfId="3655" dataCellStyle="Currency"/>
    <tableColumn id="9" name="Budget_x000a_Adjustments" totalsRowFunction="sum" dataDxfId="3654" totalsRowDxfId="3653"/>
    <tableColumn id="10" name="N/A" totalsRowLabel="    N/A    " dataDxfId="3652" totalsRowDxfId="3651" dataCellStyle="Currency"/>
    <tableColumn id="11" name="Add: Receipts_x000a_and Recovered Amounts" totalsRowFunction="sum" dataDxfId="3650" totalsRowDxfId="3649"/>
    <tableColumn id="12" name="Less: Mandated Program Payments, Offsets,_x000a_and Interest_x000a_(see Schedule A1)" totalsRowFunction="sum" dataDxfId="3648" totalsRowDxfId="3647"/>
    <tableColumn id="13" name="N/A2" totalsRowLabel="    N/A    " dataDxfId="3646" totalsRowDxfId="3645" dataCellStyle="Currency"/>
    <tableColumn id="14" name="Less: Appropriations for Reversion" totalsRowFunction="sum" dataDxfId="3644" totalsRowDxfId="3643"/>
    <tableColumn id="15" name="Appropriation Balances_x000a_as of 8/31/2023" totalsRowFunction="sum" dataDxfId="3642" totalsRowDxfId="364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: Summary of State-Mandated Program Appropriations, Receipts, and Payments. As of August 31, 2023. For School Districts-General Fund."/>
    </ext>
  </extLst>
</table>
</file>

<file path=xl/tables/table40.xml><?xml version="1.0" encoding="utf-8"?>
<table xmlns="http://schemas.openxmlformats.org/spreadsheetml/2006/main" id="26" name="local200203" displayName="local200203" ref="A223:L227" totalsRowCount="1" headerRowDxfId="2691" dataDxfId="2689" totalsRowDxfId="2687" headerRowBorderDxfId="2690" tableBorderDxfId="2688" totalsRowBorderDxfId="2686" headerRowCellStyle="Currency">
  <autoFilter ref="A223:L226"/>
  <tableColumns count="12">
    <tableColumn id="1" name="Fiscal_x000a_Year" totalsRowLabel="2002-03 Total" dataDxfId="2685" totalsRowDxfId="2684"/>
    <tableColumn id="2" name="Program_x000a_Name" totalsRowLabel="N/A" dataDxfId="2683" totalsRowDxfId="2682"/>
    <tableColumn id="3" name="Legal_x000a_Reference_x000a_(Ch./Year)" totalsRowLabel="N/A" dataDxfId="2681" totalsRowDxfId="2680"/>
    <tableColumn id="4" name="Program _x000a_Number" totalsRowLabel="N/A" dataDxfId="2679" totalsRowDxfId="2678"/>
    <tableColumn id="5" name="Program_x000a_Costs" totalsRowFunction="sum" dataDxfId="2677" totalsRowDxfId="2676" dataCellStyle="Currency"/>
    <tableColumn id="6" name="Less: Net Payments and Offsets1" totalsRowFunction="sum" dataDxfId="2675" totalsRowDxfId="2674" dataCellStyle="Currency"/>
    <tableColumn id="7" name="Comment1" totalsRowLabel="N/A" dataDxfId="2673" totalsRowDxfId="2672"/>
    <tableColumn id="8" name="Account_x000a_Payable _x000a_Balance" totalsRowFunction="sum" dataDxfId="2671" totalsRowDxfId="2670"/>
    <tableColumn id="9" name="Established_x000a_Account _x000a_Receivable" totalsRowFunction="sum" dataDxfId="2669" totalsRowDxfId="2668"/>
    <tableColumn id="10" name="Less: _x000a_Recovered Amount" totalsRowFunction="sum" dataDxfId="2667" totalsRowDxfId="2666"/>
    <tableColumn id="11" name="Account  Receivable_x000a_Balance" totalsRowFunction="sum" dataDxfId="2665" totalsRowDxfId="2664"/>
    <tableColumn id="12" name="Net_x000a_Balance" totalsRowFunction="sum" dataDxfId="2663" totalsRowDxfId="26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41.xml><?xml version="1.0" encoding="utf-8"?>
<table xmlns="http://schemas.openxmlformats.org/spreadsheetml/2006/main" id="27" name="local200102" displayName="local200102" ref="A229:L234" totalsRowCount="1" headerRowDxfId="2661" dataDxfId="2659" totalsRowDxfId="2657" headerRowBorderDxfId="2660" tableBorderDxfId="2658" totalsRowBorderDxfId="2656" headerRowCellStyle="Currency">
  <autoFilter ref="A229:L233"/>
  <tableColumns count="12">
    <tableColumn id="1" name="Fiscal_x000a_Year" totalsRowLabel="2001-02 Total" dataDxfId="2655" totalsRowDxfId="2654"/>
    <tableColumn id="2" name="Program_x000a_Name" totalsRowLabel="N/A" dataDxfId="2653" totalsRowDxfId="2652"/>
    <tableColumn id="3" name="Legal_x000a_Reference_x000a_(Ch./Year)" totalsRowLabel="N/A" dataDxfId="2651" totalsRowDxfId="2650"/>
    <tableColumn id="4" name="Program _x000a_Number" totalsRowLabel="N/A" dataDxfId="2649" totalsRowDxfId="2648"/>
    <tableColumn id="5" name="Program_x000a_Costs" totalsRowFunction="sum" dataDxfId="2647" totalsRowDxfId="2646"/>
    <tableColumn id="6" name="Less: Net Payments and Offsets1" totalsRowFunction="sum" dataDxfId="2645" totalsRowDxfId="2644"/>
    <tableColumn id="7" name="Comment1" totalsRowLabel="N/A" dataDxfId="2643" totalsRowDxfId="2642"/>
    <tableColumn id="8" name="Account_x000a_Payable _x000a_Balance" totalsRowFunction="sum" dataDxfId="2641" totalsRowDxfId="2640"/>
    <tableColumn id="9" name="Established_x000a_Account _x000a_Receivable" totalsRowFunction="sum" dataDxfId="2639" totalsRowDxfId="2638"/>
    <tableColumn id="10" name="Less: _x000a_Recovered Amount" totalsRowFunction="sum" dataDxfId="2637" totalsRowDxfId="2636"/>
    <tableColumn id="11" name="Account  Receivable_x000a_Balance" totalsRowFunction="sum" dataDxfId="2635" totalsRowDxfId="2634"/>
    <tableColumn id="12" name="Net_x000a_Balance" totalsRowFunction="sum" dataDxfId="2633" totalsRowDxfId="26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42.xml><?xml version="1.0" encoding="utf-8"?>
<table xmlns="http://schemas.openxmlformats.org/spreadsheetml/2006/main" id="28" name="local200001" displayName="local200001" ref="A236:L238" totalsRowCount="1" headerRowDxfId="2631" dataDxfId="2629" totalsRowDxfId="2627" headerRowBorderDxfId="2630" tableBorderDxfId="2628" totalsRowBorderDxfId="2626" headerRowCellStyle="Currency">
  <autoFilter ref="A236:L237"/>
  <tableColumns count="12">
    <tableColumn id="1" name="Fiscal_x000a_Year" totalsRowLabel="2000-01 Total" dataDxfId="2625" totalsRowDxfId="2624"/>
    <tableColumn id="2" name="Program_x000a_Name" totalsRowLabel="N/A" dataDxfId="2623" totalsRowDxfId="2622"/>
    <tableColumn id="3" name="Legal_x000a_Reference_x000a_(Ch./Year)" totalsRowLabel="N/A" dataDxfId="2621" totalsRowDxfId="2620"/>
    <tableColumn id="4" name="Program _x000a_Number" totalsRowLabel="N/A" dataDxfId="2619" totalsRowDxfId="2618"/>
    <tableColumn id="5" name="Program_x000a_Costs" totalsRowFunction="sum" dataDxfId="2617" totalsRowDxfId="2616"/>
    <tableColumn id="6" name="Less: Net Payments and Offsets1" totalsRowFunction="sum" dataDxfId="2615" totalsRowDxfId="2614"/>
    <tableColumn id="7" name="Comment1" totalsRowLabel="N/A" dataDxfId="2613" totalsRowDxfId="2612"/>
    <tableColumn id="8" name="Account_x000a_Payable _x000a_Balance" totalsRowFunction="sum" dataDxfId="2611" totalsRowDxfId="2610"/>
    <tableColumn id="9" name="Established_x000a_Account _x000a_Receivable" totalsRowFunction="sum" dataDxfId="2609" totalsRowDxfId="2608"/>
    <tableColumn id="10" name="Less: _x000a_Recovered Amount" totalsRowFunction="sum" dataDxfId="2607" totalsRowDxfId="2606"/>
    <tableColumn id="11" name="Account  Receivable_x000a_Balance" totalsRowFunction="sum" dataDxfId="2605" totalsRowDxfId="2604"/>
    <tableColumn id="12" name="Net_x000a_Balance" totalsRowFunction="sum" dataDxfId="2603" totalsRowDxfId="26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43.xml><?xml version="1.0" encoding="utf-8"?>
<table xmlns="http://schemas.openxmlformats.org/spreadsheetml/2006/main" id="29" name="local199900" displayName="local199900" ref="A240:L245" totalsRowCount="1" headerRowDxfId="2601" dataDxfId="2599" totalsRowDxfId="2597" headerRowBorderDxfId="2600" tableBorderDxfId="2598" totalsRowBorderDxfId="2596" headerRowCellStyle="Currency">
  <autoFilter ref="A240:L244"/>
  <tableColumns count="12">
    <tableColumn id="1" name="Fiscal_x000a_Year" totalsRowLabel="1999-00 Total" dataDxfId="2595" totalsRowDxfId="2594"/>
    <tableColumn id="2" name="Program_x000a_Name" totalsRowLabel="N/A" dataDxfId="2593" totalsRowDxfId="2592"/>
    <tableColumn id="3" name="Legal_x000a_Reference_x000a_(Ch./Year)" totalsRowLabel="N/A" dataDxfId="2591" totalsRowDxfId="2590"/>
    <tableColumn id="4" name="Program _x000a_Number" totalsRowLabel="N/A" dataDxfId="2589" totalsRowDxfId="2588"/>
    <tableColumn id="5" name="Program_x000a_Costs" totalsRowFunction="sum" dataDxfId="2587" totalsRowDxfId="2586"/>
    <tableColumn id="6" name="Less: Net Payments and Offsets1" totalsRowFunction="sum" dataDxfId="2585" totalsRowDxfId="2584"/>
    <tableColumn id="7" name="Comment1" totalsRowLabel="N/A" dataDxfId="2583" totalsRowDxfId="2582"/>
    <tableColumn id="8" name="Account_x000a_Payable _x000a_Balance" totalsRowFunction="sum" dataDxfId="2581" totalsRowDxfId="2580"/>
    <tableColumn id="9" name="Established_x000a_Account _x000a_Receivable" totalsRowFunction="sum" dataDxfId="2579" totalsRowDxfId="2578"/>
    <tableColumn id="10" name="Less: _x000a_Recovered Amount" totalsRowFunction="sum" dataDxfId="2577" totalsRowDxfId="2576"/>
    <tableColumn id="11" name="Account  Receivable_x000a_Balance" totalsRowFunction="sum" dataDxfId="2575" totalsRowDxfId="2574"/>
    <tableColumn id="12" name="Net_x000a_Balance" totalsRowFunction="sum" dataDxfId="2573" totalsRowDxfId="257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44.xml><?xml version="1.0" encoding="utf-8"?>
<table xmlns="http://schemas.openxmlformats.org/spreadsheetml/2006/main" id="30" name="local199899" displayName="local199899" ref="A247:L251" totalsRowCount="1" headerRowDxfId="2571" dataDxfId="2569" totalsRowDxfId="2567" headerRowBorderDxfId="2570" tableBorderDxfId="2568" totalsRowBorderDxfId="2566" headerRowCellStyle="Currency">
  <autoFilter ref="A247:L250"/>
  <tableColumns count="12">
    <tableColumn id="1" name="Fiscal_x000a_Year" totalsRowLabel="1998-99 Total" dataDxfId="2565" totalsRowDxfId="2564"/>
    <tableColumn id="2" name="Program_x000a_Name" totalsRowLabel="N/A" dataDxfId="2563" totalsRowDxfId="2562"/>
    <tableColumn id="3" name="Legal_x000a_Reference_x000a_(Ch./Year)" totalsRowLabel="N/A" dataDxfId="2561" totalsRowDxfId="2560"/>
    <tableColumn id="4" name="Program _x000a_Number" totalsRowLabel="N/A" dataDxfId="2559" totalsRowDxfId="2558"/>
    <tableColumn id="5" name="Program_x000a_Costs" totalsRowFunction="sum" dataDxfId="2557" totalsRowDxfId="2556"/>
    <tableColumn id="6" name="Less: Net Payments and Offsets1" totalsRowFunction="sum" dataDxfId="2555" totalsRowDxfId="2554"/>
    <tableColumn id="7" name="Comment1" totalsRowLabel="N/A" dataDxfId="2553" totalsRowDxfId="2552"/>
    <tableColumn id="8" name="Account_x000a_Payable _x000a_Balance" totalsRowFunction="sum" dataDxfId="2551" totalsRowDxfId="2550"/>
    <tableColumn id="9" name="Established_x000a_Account _x000a_Receivable" totalsRowFunction="sum" dataDxfId="2549" totalsRowDxfId="2548"/>
    <tableColumn id="10" name="Less: _x000a_Recovered Amount" totalsRowFunction="sum" dataDxfId="2547" totalsRowDxfId="2546"/>
    <tableColumn id="11" name="Account  Receivable_x000a_Balance" totalsRowFunction="sum" dataDxfId="2545" totalsRowDxfId="2544"/>
    <tableColumn id="12" name="Net_x000a_Balance" totalsRowFunction="sum" dataDxfId="2543" totalsRowDxfId="254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2. Local Agencies.3"/>
    </ext>
  </extLst>
</table>
</file>

<file path=xl/tables/table45.xml><?xml version="1.0" encoding="utf-8"?>
<table xmlns="http://schemas.openxmlformats.org/spreadsheetml/2006/main" id="31" name="local199798" displayName="local199798" ref="A253:L256" totalsRowCount="1" headerRowDxfId="2541" dataDxfId="2539" totalsRowDxfId="2537" headerRowBorderDxfId="2540" tableBorderDxfId="2538" totalsRowBorderDxfId="2536" headerRowCellStyle="Currency">
  <autoFilter ref="A253:L255"/>
  <tableColumns count="12">
    <tableColumn id="1" name="Fiscal_x000a_Year" totalsRowLabel="1997-98 Total" dataDxfId="2535" totalsRowDxfId="2534"/>
    <tableColumn id="2" name="Program_x000a_Name" totalsRowLabel="N/A" dataDxfId="2533" totalsRowDxfId="2532"/>
    <tableColumn id="3" name="Legal_x000a_Reference_x000a_(Ch./Year)" totalsRowLabel="N/A" dataDxfId="2531" totalsRowDxfId="2530"/>
    <tableColumn id="4" name="Program _x000a_Number" totalsRowLabel="N/A" dataDxfId="2529" totalsRowDxfId="2528"/>
    <tableColumn id="5" name="Program_x000a_Costs" totalsRowFunction="sum" dataDxfId="2527" totalsRowDxfId="2526"/>
    <tableColumn id="6" name="Less: Net Payments and Offsets1" totalsRowFunction="sum" dataDxfId="2525" totalsRowDxfId="2524"/>
    <tableColumn id="7" name="Comment1" totalsRowLabel="N/A" dataDxfId="2523" totalsRowDxfId="2522"/>
    <tableColumn id="8" name="Account_x000a_Payable _x000a_Balance" totalsRowFunction="sum" dataDxfId="2521" totalsRowDxfId="2520"/>
    <tableColumn id="9" name="Established_x000a_Account _x000a_Receivable" totalsRowFunction="sum" dataDxfId="2519" totalsRowDxfId="2518"/>
    <tableColumn id="10" name="Less: _x000a_Recovered Amount" totalsRowFunction="sum" dataDxfId="2517" totalsRowDxfId="2516"/>
    <tableColumn id="11" name="Account  Receivable_x000a_Balance" totalsRowFunction="sum" dataDxfId="2515" totalsRowDxfId="2514"/>
    <tableColumn id="12" name="Net_x000a_Balance" totalsRowFunction="sum" dataDxfId="2513" totalsRowDxfId="25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46.xml><?xml version="1.0" encoding="utf-8"?>
<table xmlns="http://schemas.openxmlformats.org/spreadsheetml/2006/main" id="32" name="local199697" displayName="local199697" ref="A258:L260" totalsRowCount="1" headerRowDxfId="2511" dataDxfId="2509" totalsRowDxfId="2507" headerRowBorderDxfId="2510" tableBorderDxfId="2508" totalsRowBorderDxfId="2506" headerRowCellStyle="Currency">
  <autoFilter ref="A258:L259"/>
  <tableColumns count="12">
    <tableColumn id="1" name="Fiscal_x000a_Year" totalsRowLabel="1996-97 Total" dataDxfId="2505" totalsRowDxfId="2504"/>
    <tableColumn id="2" name="Program_x000a_Name" totalsRowLabel="N/A" dataDxfId="2503" totalsRowDxfId="2502"/>
    <tableColumn id="3" name="Legal_x000a_Reference_x000a_(Ch./Year)" totalsRowLabel="N/A" dataDxfId="2501" totalsRowDxfId="2500"/>
    <tableColumn id="4" name="Program _x000a_Number" totalsRowLabel="N/A" dataDxfId="2499" totalsRowDxfId="2498"/>
    <tableColumn id="5" name="Program_x000a_Costs" totalsRowFunction="sum" dataDxfId="2497" totalsRowDxfId="2496"/>
    <tableColumn id="6" name="Less: Net Payments and Offsets1" totalsRowFunction="sum" dataDxfId="2495" totalsRowDxfId="2494"/>
    <tableColumn id="7" name="Comment1" totalsRowLabel="N/A" dataDxfId="2493" totalsRowDxfId="2492"/>
    <tableColumn id="8" name="Account_x000a_Payable _x000a_Balance" totalsRowFunction="sum" dataDxfId="2491" totalsRowDxfId="2490"/>
    <tableColumn id="9" name="Established_x000a_Account _x000a_Receivable" totalsRowFunction="sum" dataDxfId="2489" totalsRowDxfId="2488"/>
    <tableColumn id="10" name="Less: _x000a_Recovered Amount" totalsRowFunction="sum" dataDxfId="2487" totalsRowDxfId="2486"/>
    <tableColumn id="11" name="Account  Receivable_x000a_Balance" totalsRowFunction="sum" dataDxfId="2485" totalsRowDxfId="2484"/>
    <tableColumn id="12" name="Net_x000a_Balance" totalsRowFunction="sum" dataDxfId="2483" totalsRowDxfId="24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47.xml><?xml version="1.0" encoding="utf-8"?>
<table xmlns="http://schemas.openxmlformats.org/spreadsheetml/2006/main" id="33" name="local199596" displayName="local199596" ref="A262:L265" totalsRowCount="1" headerRowDxfId="2481" dataDxfId="2479" totalsRowDxfId="2477" headerRowBorderDxfId="2480" tableBorderDxfId="2478" totalsRowBorderDxfId="2476" headerRowCellStyle="Currency">
  <autoFilter ref="A262:L264"/>
  <tableColumns count="12">
    <tableColumn id="1" name="Fiscal_x000a_Year" totalsRowLabel="1995-96 Total" dataDxfId="2475" totalsRowDxfId="2474"/>
    <tableColumn id="2" name="Program_x000a_Name" totalsRowLabel="N/A" dataDxfId="2473" totalsRowDxfId="2472"/>
    <tableColumn id="3" name="Legal_x000a_Reference_x000a_(Ch./Year)" totalsRowLabel="N/A" dataDxfId="2471" totalsRowDxfId="2470"/>
    <tableColumn id="4" name="Program _x000a_Number" totalsRowLabel="N/A" dataDxfId="2469" totalsRowDxfId="2468"/>
    <tableColumn id="5" name="Program_x000a_Costs" totalsRowFunction="sum" dataDxfId="2467" totalsRowDxfId="2466"/>
    <tableColumn id="6" name="Less: Net Payments and Offsets1" totalsRowFunction="sum" dataDxfId="2465" totalsRowDxfId="2464"/>
    <tableColumn id="7" name="Comment1" totalsRowLabel="N/A" dataDxfId="2463" totalsRowDxfId="2462"/>
    <tableColumn id="8" name="Account_x000a_Payable _x000a_Balance" totalsRowFunction="sum" dataDxfId="2461" totalsRowDxfId="2460"/>
    <tableColumn id="9" name="Established_x000a_Account _x000a_Receivable" totalsRowFunction="sum" dataDxfId="2459" totalsRowDxfId="2458"/>
    <tableColumn id="10" name="Less: _x000a_Recovered Amount" totalsRowFunction="sum" dataDxfId="2457" totalsRowDxfId="2456"/>
    <tableColumn id="11" name="Account  Receivable_x000a_Balance" totalsRowFunction="sum" dataDxfId="2455" totalsRowDxfId="2454"/>
    <tableColumn id="12" name="Net_x000a_Balance" totalsRowFunction="sum" dataDxfId="2453" totalsRowDxfId="24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48.xml><?xml version="1.0" encoding="utf-8"?>
<table xmlns="http://schemas.openxmlformats.org/spreadsheetml/2006/main" id="34" name="local199495" displayName="local199495" ref="A267:L269" totalsRowCount="1" headerRowDxfId="2451" dataDxfId="2449" totalsRowDxfId="2448" headerRowBorderDxfId="2450" totalsRowBorderDxfId="2447" headerRowCellStyle="Currency">
  <autoFilter ref="A267:L268"/>
  <tableColumns count="12">
    <tableColumn id="1" name="Fiscal_x000a_Year" totalsRowLabel="1994-95 Total" dataDxfId="2446" totalsRowDxfId="2445"/>
    <tableColumn id="2" name="Program_x000a_Name" totalsRowLabel="N/A" dataDxfId="2444" totalsRowDxfId="2443"/>
    <tableColumn id="3" name="Legal_x000a_Reference_x000a_(Ch./Year)" totalsRowLabel="N/A" dataDxfId="2442" totalsRowDxfId="2441"/>
    <tableColumn id="4" name="Program _x000a_Number" totalsRowLabel="N/A" dataDxfId="2440" totalsRowDxfId="2439"/>
    <tableColumn id="5" name="Program_x000a_Costs" totalsRowFunction="sum" dataDxfId="2438" totalsRowDxfId="2437"/>
    <tableColumn id="6" name="Less: Net Payments and Offsets1" totalsRowFunction="sum" dataDxfId="2436" totalsRowDxfId="2435"/>
    <tableColumn id="7" name="Comment1" totalsRowLabel="N/A" dataDxfId="2434" totalsRowDxfId="2433"/>
    <tableColumn id="8" name="Account_x000a_Payable _x000a_Balance" totalsRowFunction="sum" dataDxfId="2432" totalsRowDxfId="2431"/>
    <tableColumn id="9" name="Established_x000a_Account _x000a_Receivable" totalsRowFunction="sum" dataDxfId="2430" totalsRowDxfId="2429"/>
    <tableColumn id="10" name="Less: _x000a_Recovered Amount" totalsRowFunction="sum" dataDxfId="2428" totalsRowDxfId="2427"/>
    <tableColumn id="11" name="Account  Receivable_x000a_Balance" totalsRowFunction="sum" dataDxfId="2426" totalsRowDxfId="2425"/>
    <tableColumn id="12" name="Net_x000a_Balance" totalsRowFunction="sum" dataDxfId="2424" totalsRowDxfId="242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49.xml><?xml version="1.0" encoding="utf-8"?>
<table xmlns="http://schemas.openxmlformats.org/spreadsheetml/2006/main" id="35" name="local199293" displayName="local199293" ref="A271:L274" totalsRowCount="1" headerRowDxfId="2422" dataDxfId="2420" totalsRowDxfId="2418" headerRowBorderDxfId="2421" tableBorderDxfId="2419" totalsRowBorderDxfId="2417" headerRowCellStyle="Currency">
  <autoFilter ref="A271:L273"/>
  <tableColumns count="12">
    <tableColumn id="1" name="Fiscal_x000a_Year" totalsRowLabel="1992-93 Total" dataDxfId="2416" totalsRowDxfId="2415"/>
    <tableColumn id="2" name="Program_x000a_Name" totalsRowLabel="N/A" dataDxfId="2414" totalsRowDxfId="2413"/>
    <tableColumn id="3" name="Legal_x000a_Reference_x000a_(Ch./Year)" totalsRowLabel="N/A" dataDxfId="2412" totalsRowDxfId="2411"/>
    <tableColumn id="4" name="Program _x000a_Number" totalsRowLabel="N/A" dataDxfId="2410" totalsRowDxfId="2409"/>
    <tableColumn id="5" name="Program_x000a_Costs" totalsRowFunction="sum" dataDxfId="2408" totalsRowDxfId="2407"/>
    <tableColumn id="6" name="Less: Net Payments and Offsets1" totalsRowFunction="sum" dataDxfId="2406" totalsRowDxfId="2405"/>
    <tableColumn id="7" name="Comment1" totalsRowLabel="N/A" dataDxfId="2404" totalsRowDxfId="2403"/>
    <tableColumn id="8" name="Account_x000a_Payable _x000a_Balance" totalsRowFunction="sum" dataDxfId="2402" totalsRowDxfId="2401"/>
    <tableColumn id="9" name="Established_x000a_Account _x000a_Receivable" totalsRowFunction="sum" dataDxfId="2400" totalsRowDxfId="2399"/>
    <tableColumn id="10" name="Less: _x000a_Recovered Amount" totalsRowFunction="sum" dataDxfId="2398" totalsRowDxfId="2397"/>
    <tableColumn id="11" name="Account  Receivable_x000a_Balance" totalsRowFunction="sum" dataDxfId="2396" totalsRowDxfId="2395"/>
    <tableColumn id="12" name="Net_x000a_Balance" totalsRowFunction="sum" dataDxfId="2394" totalsRowDxfId="239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5.xml><?xml version="1.0" encoding="utf-8"?>
<table xmlns="http://schemas.openxmlformats.org/spreadsheetml/2006/main" id="116" name="ccdgeneralfund" displayName="ccdgeneralfund" ref="A32:O37" totalsRowCount="1" headerRowDxfId="3640" dataDxfId="3638" totalsRowDxfId="3636" headerRowBorderDxfId="3639" tableBorderDxfId="3637" totalsRowBorderDxfId="3635">
  <autoFilter ref="A32:O36"/>
  <tableColumns count="15">
    <tableColumn id="1" name="Program Category_x000a_ and Fund" totalsRowLabel="Total Community College Districts-General Fund" dataDxfId="3634" totalsRowDxfId="3633"/>
    <tableColumn id="2" name="Appropriation_x000a_Number" totalsRowLabel="     N/A     " dataDxfId="3632" totalsRowDxfId="3631"/>
    <tableColumn id="3" name="Legal_x000a_Reference_x000a_(Ch./Year)" totalsRowLabel="     N/A     " dataDxfId="3630" totalsRowDxfId="3629"/>
    <tableColumn id="4" name="Fiscal Year of_x000a_Claims Paid" totalsRowLabel="     N/A     " dataDxfId="3628" totalsRowDxfId="3627" dataCellStyle="Currency"/>
    <tableColumn id="5" name="Reversion Date" totalsRowLabel="     N/A     " dataDxfId="3626" totalsRowDxfId="3625"/>
    <tableColumn id="6" name="Original_x000a_Appropriation_x000a_Amount" totalsRowFunction="sum" dataDxfId="3624" totalsRowDxfId="3623"/>
    <tableColumn id="7" name="Appropriation Balances1 " totalsRowFunction="sum" dataDxfId="3622" totalsRowDxfId="3621"/>
    <tableColumn id="8" name="Comment1" totalsRowLabel="     N/A     " dataDxfId="3620" totalsRowDxfId="3619" dataCellStyle="Currency"/>
    <tableColumn id="9" name="Budget_x000a_Adjustments" totalsRowFunction="sum" dataDxfId="3618" totalsRowDxfId="3617"/>
    <tableColumn id="10" name="N/A" totalsRowLabel="  N/A  " dataDxfId="3616" totalsRowDxfId="3615" dataCellStyle="Currency"/>
    <tableColumn id="11" name="Add: Receipts_x000a_and Recovered Amounts" totalsRowFunction="sum" dataDxfId="3614" totalsRowDxfId="3613"/>
    <tableColumn id="12" name="Less: Mandated Program Payments, Offsets,_x000a_and Interest_x000a_(see Schedule A1)" totalsRowFunction="sum" dataDxfId="3612" totalsRowDxfId="3611"/>
    <tableColumn id="13" name="N/A2" totalsRowLabel="     N/A     " dataDxfId="3610" totalsRowDxfId="3609" dataCellStyle="Currency"/>
    <tableColumn id="14" name="Less: Appropriations for Reversion" totalsRowFunction="sum" dataDxfId="3608" totalsRowDxfId="3607"/>
    <tableColumn id="15" name="Appropriation Balances_x000a_as of 8/31/2023" totalsRowFunction="sum" dataDxfId="3606" totalsRowDxfId="360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: Summary of State-Mandated Program Appropriations, Receipts, and Payments. As of August 31, 2023. For Community College Districts-General Fund."/>
    </ext>
  </extLst>
</table>
</file>

<file path=xl/tables/table50.xml><?xml version="1.0" encoding="utf-8"?>
<table xmlns="http://schemas.openxmlformats.org/spreadsheetml/2006/main" id="36" name="local199192" displayName="local199192" ref="A276:L280" totalsRowCount="1" headerRowDxfId="2392" dataDxfId="2390" totalsRowDxfId="2388" headerRowBorderDxfId="2391" tableBorderDxfId="2389" totalsRowBorderDxfId="2387" headerRowCellStyle="Currency">
  <autoFilter ref="A276:L279"/>
  <tableColumns count="12">
    <tableColumn id="1" name="Fiscal_x000a_Year" totalsRowLabel="1991-92 Total" dataDxfId="2386" totalsRowDxfId="2385"/>
    <tableColumn id="2" name="Program_x000a_Name" totalsRowLabel="N/A" dataDxfId="2384" totalsRowDxfId="2383"/>
    <tableColumn id="3" name="Legal_x000a_Reference_x000a_(Ch./Year)" totalsRowLabel="N/A" dataDxfId="2382" totalsRowDxfId="2381"/>
    <tableColumn id="4" name="Program _x000a_Number" totalsRowLabel="N/A" dataDxfId="2380" totalsRowDxfId="2379"/>
    <tableColumn id="5" name="Program_x000a_Costs" totalsRowFunction="sum" dataDxfId="2378" totalsRowDxfId="2377"/>
    <tableColumn id="6" name="Less: Net Payments and Offsets1" totalsRowFunction="sum" dataDxfId="2376" totalsRowDxfId="2375"/>
    <tableColumn id="7" name="Comment1" totalsRowLabel="N/A" dataDxfId="2374" totalsRowDxfId="2373"/>
    <tableColumn id="8" name="Account_x000a_Payable _x000a_Balance" totalsRowFunction="sum" dataDxfId="2372" totalsRowDxfId="2371"/>
    <tableColumn id="9" name="Established_x000a_Account _x000a_Receivable" totalsRowFunction="sum" dataDxfId="2370" totalsRowDxfId="2369"/>
    <tableColumn id="10" name="Less: _x000a_Recovered Amount" totalsRowFunction="sum" dataDxfId="2368" totalsRowDxfId="2367"/>
    <tableColumn id="11" name="Account  Receivable_x000a_Balance" totalsRowFunction="sum" dataDxfId="2366" totalsRowDxfId="2365"/>
    <tableColumn id="12" name="Net_x000a_Balance" totalsRowFunction="sum" dataDxfId="2364" totalsRowDxfId="236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51.xml><?xml version="1.0" encoding="utf-8"?>
<table xmlns="http://schemas.openxmlformats.org/spreadsheetml/2006/main" id="37" name="localgrandtotal" displayName="localgrandtotal" ref="A282:L313" totalsRowCount="1" headerRowDxfId="2362" dataDxfId="2360" totalsRowDxfId="2358" headerRowBorderDxfId="2361" tableBorderDxfId="2359" totalsRowBorderDxfId="2357" headerRowCellStyle="Currency">
  <autoFilter ref="A282:L312"/>
  <tableColumns count="12">
    <tableColumn id="1" name="Fiscal_x000a_Year" totalsRowLabel="Total Local Agencies" dataDxfId="2356" totalsRowDxfId="2355"/>
    <tableColumn id="2" name="Program_x000a_Name" totalsRowLabel="N/A" dataDxfId="2354" totalsRowDxfId="2353"/>
    <tableColumn id="3" name="Legal_x000a_Reference_x000a_(Ch./Year)" totalsRowLabel="N/A" dataDxfId="2352" totalsRowDxfId="2351"/>
    <tableColumn id="4" name="Program _x000a_Number" totalsRowLabel="N/A" dataDxfId="2350" totalsRowDxfId="2349"/>
    <tableColumn id="5" name="Program_x000a_Costs" totalsRowFunction="sum" dataDxfId="2348" totalsRowDxfId="2347"/>
    <tableColumn id="6" name="Less: Net Payments and Offsets1" totalsRowFunction="sum" dataDxfId="2346" totalsRowDxfId="2345"/>
    <tableColumn id="7" name="Comment1" totalsRowLabel="N/A" dataDxfId="2344" totalsRowDxfId="2343"/>
    <tableColumn id="8" name="Account_x000a_Payable _x000a_Balance" totalsRowFunction="sum" dataDxfId="2342" totalsRowDxfId="2341"/>
    <tableColumn id="9" name="Established_x000a_Account _x000a_Receivable" totalsRowFunction="sum" dataDxfId="2340" totalsRowDxfId="2339"/>
    <tableColumn id="10" name="Less: _x000a_Recovered Amount" totalsRowFunction="sum" dataDxfId="2338" totalsRowDxfId="2337"/>
    <tableColumn id="11" name="Account  Receivable_x000a_Balance" totalsRowFunction="sum" dataDxfId="2336" totalsRowDxfId="2335"/>
    <tableColumn id="12" name="Net_x000a_Balance" totalsRowFunction="sum" dataDxfId="2334" totalsRowDxfId="233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52.xml><?xml version="1.0" encoding="utf-8"?>
<table xmlns="http://schemas.openxmlformats.org/spreadsheetml/2006/main" id="124" name="Table124" displayName="Table124" ref="A10:L30" totalsRowCount="1" headerRowDxfId="2332" dataDxfId="2330" headerRowBorderDxfId="2331" headerRowCellStyle="Currency">
  <autoFilter ref="A10:L29"/>
  <tableColumns count="12">
    <tableColumn id="1" name="Fiscal_x000a_Year" totalsRowLabel="2020-21 Total" dataDxfId="2329"/>
    <tableColumn id="2" name="Program_x000a_Name" totalsRowLabel="N/A" dataDxfId="2328"/>
    <tableColumn id="3" name="Legal_x000a_Reference_x000a_(Ch./Year)" totalsRowLabel="N/A" dataDxfId="2327"/>
    <tableColumn id="4" name="Program _x000a_Number" totalsRowLabel="N/A" dataDxfId="2326"/>
    <tableColumn id="5" name="Program_x000a_Costs" totalsRowFunction="sum" dataDxfId="2325"/>
    <tableColumn id="6" name="Less: Net Payments and Offsets1" totalsRowFunction="sum" dataDxfId="2324"/>
    <tableColumn id="7" name="Comment1" totalsRowFunction="sum" dataDxfId="2323"/>
    <tableColumn id="8" name="Account_x000a_Payable _x000a_Balance" totalsRowFunction="sum" dataDxfId="2322"/>
    <tableColumn id="9" name="Established_x000a_Account _x000a_Receivable" totalsRowFunction="sum" dataDxfId="2321"/>
    <tableColumn id="10" name="Less: _x000a_Recovered Amount" totalsRowFunction="sum" dataDxfId="2320"/>
    <tableColumn id="11" name="Account  Receivable_x000a_Balance" totalsRowFunction="sum" dataDxfId="2319"/>
    <tableColumn id="12" name="Net_x000a_Balance" totalsRowFunction="sum" dataDxfId="2318"/>
  </tableColumns>
  <tableStyleInfo name="TableStyleLight1"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Local Agencies."/>
    </ext>
  </extLst>
</table>
</file>

<file path=xl/tables/table53.xml><?xml version="1.0" encoding="utf-8"?>
<table xmlns="http://schemas.openxmlformats.org/spreadsheetml/2006/main" id="38" name="school202021" displayName="school202021" ref="A2:L29" totalsRowCount="1" headerRowDxfId="2317" dataDxfId="2315" totalsRowDxfId="2314" headerRowBorderDxfId="2316" totalsRowBorderDxfId="2313" headerRowCellStyle="Currency">
  <autoFilter ref="A2:L28"/>
  <tableColumns count="12">
    <tableColumn id="1" name="Fiscal_x000a_Year" totalsRowLabel="2021-22 Total" dataDxfId="2312" totalsRowDxfId="35"/>
    <tableColumn id="2" name="Program_x000a_Name" totalsRowLabel="N/A" dataDxfId="2311" totalsRowDxfId="34"/>
    <tableColumn id="3" name="Legal_x000a_Reference_x000a_(Ch./Year)" totalsRowLabel="N/A" dataDxfId="2310" totalsRowDxfId="33"/>
    <tableColumn id="4" name="Program Number" totalsRowLabel="N/A" dataDxfId="2309" totalsRowDxfId="32"/>
    <tableColumn id="5" name="Program_x000a_Costs" totalsRowFunction="sum" dataDxfId="2308" totalsRowDxfId="31" dataCellStyle="Currency"/>
    <tableColumn id="6" name="Less: Net Payments and Offsets2" totalsRowFunction="sum" dataDxfId="2307" totalsRowDxfId="30" dataCellStyle="Currency"/>
    <tableColumn id="7" name="Comment: This amount includes offsets applied from prior years.  " totalsRowLabel="N/A" dataDxfId="2306" totalsRowDxfId="29"/>
    <tableColumn id="8" name="Accounts Payable_x000a_Balance" totalsRowFunction="sum" dataDxfId="2305" totalsRowDxfId="28"/>
    <tableColumn id="9" name="Established_x000a_Accounts Receivable" totalsRowFunction="min" dataDxfId="2304" totalsRowDxfId="27"/>
    <tableColumn id="10" name="Less: Recovered Amount" totalsRowFunction="sum" dataDxfId="2303" totalsRowDxfId="26"/>
    <tableColumn id="11" name="Accounts Receivable_x000a_Balance" totalsRowFunction="sum" dataDxfId="2302" totalsRowDxfId="25"/>
    <tableColumn id="12" name="Net_x000a_Balance" totalsRowFunction="sum" dataDxfId="2301" totalsRowDxfId="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54.xml><?xml version="1.0" encoding="utf-8"?>
<table xmlns="http://schemas.openxmlformats.org/spreadsheetml/2006/main" id="39" name="school201920" displayName="school201920" ref="A57:L84" totalsRowCount="1" headerRowDxfId="2300" dataDxfId="2298" totalsRowDxfId="2296" headerRowBorderDxfId="2299" tableBorderDxfId="2297" totalsRowBorderDxfId="2295" headerRowCellStyle="Currency">
  <autoFilter ref="A57:L83"/>
  <tableColumns count="12">
    <tableColumn id="1" name="Fiscal_x000a_Year" totalsRowLabel="2019-20 Total" dataDxfId="2294" totalsRowDxfId="2293"/>
    <tableColumn id="2" name="Program_x000a_Name" totalsRowLabel="N/A" dataDxfId="2292" totalsRowDxfId="2291"/>
    <tableColumn id="3" name="Legal_x000a_Reference_x000a_(Ch./Year)" totalsRowLabel="N/A" dataDxfId="2290" totalsRowDxfId="2289"/>
    <tableColumn id="4" name="Program Number" totalsRowLabel="N/A" dataDxfId="2288" totalsRowDxfId="2287"/>
    <tableColumn id="5" name="Program_x000a_Costs" totalsRowFunction="sum" dataDxfId="2286" totalsRowDxfId="2285" dataCellStyle="Currency"/>
    <tableColumn id="6" name="Less: Net Payments and Offsets2" totalsRowFunction="sum" dataDxfId="2284" totalsRowDxfId="2283" dataCellStyle="Currency"/>
    <tableColumn id="7" name="Comment1" totalsRowLabel="N/A" dataDxfId="2282" totalsRowDxfId="2281"/>
    <tableColumn id="8" name="Accounts Payable_x000a_Balance" totalsRowFunction="sum" dataDxfId="2280" totalsRowDxfId="2279"/>
    <tableColumn id="9" name="Established_x000a_Accounts Receivable" totalsRowFunction="sum" dataDxfId="2278" totalsRowDxfId="2277"/>
    <tableColumn id="10" name="Less: Recovered Amount" totalsRowFunction="sum" dataDxfId="2276" totalsRowDxfId="2275"/>
    <tableColumn id="11" name="Accounts Receivable_x000a_Balance" totalsRowFunction="sum" dataDxfId="2274" totalsRowDxfId="2273"/>
    <tableColumn id="12" name="Net_x000a_Balance" totalsRowFunction="sum" dataDxfId="2272" totalsRowDxfId="227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55.xml><?xml version="1.0" encoding="utf-8"?>
<table xmlns="http://schemas.openxmlformats.org/spreadsheetml/2006/main" id="40" name="school201819" displayName="school201819" ref="A86:L119" totalsRowCount="1" headerRowDxfId="2270" dataDxfId="2268" totalsRowDxfId="2266" headerRowBorderDxfId="2269" tableBorderDxfId="2267" totalsRowBorderDxfId="2265" headerRowCellStyle="Currency">
  <autoFilter ref="A86:L118"/>
  <tableColumns count="12">
    <tableColumn id="1" name="Fiscal_x000a_Year" totalsRowLabel="2018-19 Total" dataDxfId="2264" totalsRowDxfId="2263"/>
    <tableColumn id="2" name="Program_x000a_Name" totalsRowLabel="N/A" dataDxfId="2262" totalsRowDxfId="2261"/>
    <tableColumn id="3" name="Legal_x000a_Reference_x000a_(Ch./Year)" totalsRowLabel="N/A" dataDxfId="2260" totalsRowDxfId="2259"/>
    <tableColumn id="4" name="Program Number" totalsRowLabel="N/A" dataDxfId="2258" totalsRowDxfId="2257"/>
    <tableColumn id="5" name="Program_x000a_Costs" totalsRowFunction="sum" dataDxfId="2256" totalsRowDxfId="2255" dataCellStyle="Currency"/>
    <tableColumn id="6" name="Less: Net Payments and Offsets2" totalsRowFunction="sum" dataDxfId="2254" totalsRowDxfId="2253" dataCellStyle="Currency"/>
    <tableColumn id="7" name="Comment1" totalsRowLabel="N/A" dataDxfId="2252" totalsRowDxfId="2251"/>
    <tableColumn id="8" name="Accounts Payable_x000a_Balance" totalsRowFunction="sum" dataDxfId="2250" totalsRowDxfId="2249"/>
    <tableColumn id="9" name="Established_x000a_Accounts Receivable" totalsRowFunction="sum" dataDxfId="2248" totalsRowDxfId="2247"/>
    <tableColumn id="10" name="Less: Recovered Amount" totalsRowFunction="sum" dataDxfId="2246" totalsRowDxfId="2245"/>
    <tableColumn id="11" name="Accounts Receivable_x000a_Balance" totalsRowFunction="sum" dataDxfId="2244" totalsRowDxfId="2243"/>
    <tableColumn id="12" name="Net_x000a_Balance" totalsRowFunction="sum" dataDxfId="2242" totalsRowDxfId="224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56.xml><?xml version="1.0" encoding="utf-8"?>
<table xmlns="http://schemas.openxmlformats.org/spreadsheetml/2006/main" id="41" name="school201718" displayName="school201718" ref="A121:L155" totalsRowCount="1" headerRowDxfId="2240" dataDxfId="2238" totalsRowDxfId="2236" headerRowBorderDxfId="2239" tableBorderDxfId="2237" totalsRowBorderDxfId="2235" headerRowCellStyle="Currency">
  <autoFilter ref="A121:L154"/>
  <tableColumns count="12">
    <tableColumn id="1" name="Fiscal_x000a_Year" totalsRowLabel="2017-18 Total" dataDxfId="2234" totalsRowDxfId="2233"/>
    <tableColumn id="2" name="Program_x000a_Name" totalsRowLabel="N/A" dataDxfId="2232" totalsRowDxfId="2231"/>
    <tableColumn id="3" name="Legal_x000a_Reference_x000a_(Ch./Year)" totalsRowLabel="N/A" dataDxfId="2230" totalsRowDxfId="2229"/>
    <tableColumn id="4" name="Program Number" totalsRowLabel="N/A" dataDxfId="2228" totalsRowDxfId="2227"/>
    <tableColumn id="5" name="Program_x000a_Costs" totalsRowFunction="sum" dataDxfId="2226" totalsRowDxfId="2225" dataCellStyle="Currency"/>
    <tableColumn id="6" name="Less: Net Payments and Offsets2" totalsRowFunction="sum" dataDxfId="2224" totalsRowDxfId="2223" dataCellStyle="Currency"/>
    <tableColumn id="7" name="Comment1" totalsRowLabel="N/A" dataDxfId="2222" totalsRowDxfId="2221"/>
    <tableColumn id="8" name="Accounts Payable_x000a_Balance" totalsRowFunction="sum" dataDxfId="2220" totalsRowDxfId="2219"/>
    <tableColumn id="9" name="Established_x000a_Accounts Receivable" totalsRowFunction="sum" dataDxfId="2218" totalsRowDxfId="2217"/>
    <tableColumn id="10" name="Less: Recovered Amount" totalsRowFunction="sum" dataDxfId="2216" totalsRowDxfId="2215"/>
    <tableColumn id="11" name="Accounts Receivable_x000a_Balance" totalsRowFunction="sum" dataDxfId="2214" totalsRowDxfId="2213"/>
    <tableColumn id="12" name="Net_x000a_Balance" totalsRowFunction="sum" dataDxfId="2212" totalsRowDxfId="221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57.xml><?xml version="1.0" encoding="utf-8"?>
<table xmlns="http://schemas.openxmlformats.org/spreadsheetml/2006/main" id="42" name="school201617" displayName="school201617" ref="A157:L190" totalsRowCount="1" headerRowDxfId="2210" dataDxfId="2208" totalsRowDxfId="2206" headerRowBorderDxfId="2209" tableBorderDxfId="2207" totalsRowBorderDxfId="2205" headerRowCellStyle="Currency">
  <autoFilter ref="A157:L189"/>
  <tableColumns count="12">
    <tableColumn id="1" name="Fiscal_x000a_Year" totalsRowLabel="2016-17 Total" dataDxfId="2204" totalsRowDxfId="2203"/>
    <tableColumn id="2" name="Program_x000a_Name" totalsRowLabel="N/A" dataDxfId="2202" totalsRowDxfId="2201"/>
    <tableColumn id="3" name="Legal_x000a_Reference_x000a_(Ch./Year)" totalsRowLabel="N/A" dataDxfId="2200" totalsRowDxfId="2199"/>
    <tableColumn id="4" name="Program Number" totalsRowLabel="N/A" dataDxfId="2198" totalsRowDxfId="2197"/>
    <tableColumn id="5" name="Program_x000a_Costs" totalsRowFunction="sum" dataDxfId="2196" totalsRowDxfId="2195"/>
    <tableColumn id="6" name="Less: Net Payments and Offsets2" totalsRowFunction="sum" dataDxfId="2194" totalsRowDxfId="2193"/>
    <tableColumn id="7" name="Comment1" totalsRowLabel="N/A" dataDxfId="2192" totalsRowDxfId="2191"/>
    <tableColumn id="8" name="Accounts Payable_x000a_Balance" totalsRowFunction="sum" dataDxfId="2190" totalsRowDxfId="2189"/>
    <tableColumn id="9" name="Established_x000a_Accounts Receivable" totalsRowFunction="sum" dataDxfId="2188" totalsRowDxfId="2187"/>
    <tableColumn id="10" name="Less: Recovered Amount" totalsRowFunction="sum" dataDxfId="2186" totalsRowDxfId="2185"/>
    <tableColumn id="11" name="Accounts Receivable_x000a_Balance" totalsRowFunction="sum" dataDxfId="2184" totalsRowDxfId="2183"/>
    <tableColumn id="12" name="Net_x000a_Balance" totalsRowFunction="sum" dataDxfId="2182" totalsRowDxfId="218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58.xml><?xml version="1.0" encoding="utf-8"?>
<table xmlns="http://schemas.openxmlformats.org/spreadsheetml/2006/main" id="43" name="school201516" displayName="school201516" ref="A192:L226" totalsRowCount="1" headerRowDxfId="2180" dataDxfId="2178" totalsRowDxfId="2176" headerRowBorderDxfId="2179" tableBorderDxfId="2177" totalsRowBorderDxfId="2175" headerRowCellStyle="Currency">
  <autoFilter ref="A192:L225"/>
  <tableColumns count="12">
    <tableColumn id="1" name="Fiscal_x000a_Year" totalsRowLabel="2015-16 Total" dataDxfId="2174" totalsRowDxfId="2173"/>
    <tableColumn id="2" name="Program_x000a_Name" totalsRowLabel="N/A" dataDxfId="2172" totalsRowDxfId="2171"/>
    <tableColumn id="3" name="Legal_x000a_Reference_x000a_(Ch./Year)" totalsRowLabel="N/A" dataDxfId="2170" totalsRowDxfId="2169"/>
    <tableColumn id="4" name="Program Number" totalsRowLabel="N/A" dataDxfId="2168" totalsRowDxfId="2167"/>
    <tableColumn id="5" name="Program_x000a_Costs" totalsRowFunction="sum" dataDxfId="2166" totalsRowDxfId="2165" dataCellStyle="Currency"/>
    <tableColumn id="6" name="Less: Net Payments and Offsets2" totalsRowFunction="sum" dataDxfId="2164" totalsRowDxfId="2163" dataCellStyle="Currency"/>
    <tableColumn id="7" name="Comment1" totalsRowLabel="N/A" dataDxfId="2162" totalsRowDxfId="2161"/>
    <tableColumn id="8" name="Accounts Payable_x000a_Balance" totalsRowFunction="sum" dataDxfId="2160" totalsRowDxfId="2159"/>
    <tableColumn id="9" name="Established_x000a_Accounts Receivable" totalsRowFunction="sum" dataDxfId="2158" totalsRowDxfId="2157"/>
    <tableColumn id="10" name="Less: Recovered Amount" totalsRowFunction="sum" dataDxfId="2156" totalsRowDxfId="2155"/>
    <tableColumn id="11" name="Accounts Receivable_x000a_Balance" totalsRowFunction="sum" dataDxfId="2154" totalsRowDxfId="2153"/>
    <tableColumn id="12" name="Net_x000a_Balance" totalsRowFunction="sum" dataDxfId="2152" totalsRowDxfId="21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59.xml><?xml version="1.0" encoding="utf-8"?>
<table xmlns="http://schemas.openxmlformats.org/spreadsheetml/2006/main" id="44" name="school201415" displayName="school201415" ref="A228:L269" totalsRowCount="1" headerRowDxfId="2150" dataDxfId="2148" totalsRowDxfId="2146" headerRowBorderDxfId="2149" tableBorderDxfId="2147" totalsRowBorderDxfId="2145" headerRowCellStyle="Currency">
  <autoFilter ref="A228:L268"/>
  <tableColumns count="12">
    <tableColumn id="1" name="Fiscal_x000a_Year" totalsRowLabel="2014-15 Total" dataDxfId="2144" totalsRowDxfId="2143"/>
    <tableColumn id="2" name="Program_x000a_Name" totalsRowLabel="N/A" dataDxfId="2142" totalsRowDxfId="2141"/>
    <tableColumn id="3" name="Legal_x000a_Reference_x000a_(Ch./Year)" totalsRowLabel="N/A" dataDxfId="2140" totalsRowDxfId="2139"/>
    <tableColumn id="4" name="Program Number" totalsRowLabel="N/A" dataDxfId="2138" totalsRowDxfId="2137"/>
    <tableColumn id="5" name="Program_x000a_Costs" totalsRowFunction="sum" dataDxfId="2136" totalsRowDxfId="2135" dataCellStyle="Currency"/>
    <tableColumn id="6" name="Less: Net Payments and Offsets2" totalsRowFunction="sum" dataDxfId="2134" totalsRowDxfId="2133" dataCellStyle="Currency"/>
    <tableColumn id="7" name="Comment1" totalsRowLabel="N/A" dataDxfId="2132" totalsRowDxfId="2131"/>
    <tableColumn id="8" name="Accounts Payable_x000a_Balance" totalsRowFunction="sum" dataDxfId="2130" totalsRowDxfId="2129"/>
    <tableColumn id="9" name="Established_x000a_Accounts Receivable" totalsRowFunction="sum" dataDxfId="2128" totalsRowDxfId="2127"/>
    <tableColumn id="10" name="Less: Recovered Amount" totalsRowFunction="sum" dataDxfId="2126" totalsRowDxfId="2125"/>
    <tableColumn id="11" name="Accounts Receivable_x000a_Balance" totalsRowFunction="sum" dataDxfId="2124" totalsRowDxfId="2123"/>
    <tableColumn id="12" name="Net_x000a_Balance" totalsRowFunction="sum" dataDxfId="2122" totalsRowDxfId="212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.xml><?xml version="1.0" encoding="utf-8"?>
<table xmlns="http://schemas.openxmlformats.org/spreadsheetml/2006/main" id="117" name="grandtotala" displayName="grandtotala" ref="A39:O45" totalsRowCount="1" headerRowDxfId="3604" dataDxfId="3602" totalsRowDxfId="3600" headerRowBorderDxfId="3603" tableBorderDxfId="3601" totalsRowBorderDxfId="3599">
  <autoFilter ref="A39:O44"/>
  <tableColumns count="15">
    <tableColumn id="1" name="Program Category_x000a_ and Fund" totalsRowLabel="Grand Total" dataDxfId="3598" totalsRowDxfId="3597"/>
    <tableColumn id="2" name="Appropriation_x000a_Number" totalsRowLabel=" N/A " dataDxfId="3596" totalsRowDxfId="3595" dataCellStyle="Currency"/>
    <tableColumn id="3" name="Legal_x000a_Reference_x000a_(Ch./Year)" totalsRowLabel=" N/A " dataDxfId="3594" totalsRowDxfId="3593" dataCellStyle="Currency"/>
    <tableColumn id="4" name="Fiscal Year of_x000a_Claims Paid" totalsRowLabel=" N/A " dataDxfId="3592" totalsRowDxfId="3591" dataCellStyle="Currency"/>
    <tableColumn id="5" name="Reversion Date" totalsRowLabel=" N/A " dataDxfId="3590" totalsRowDxfId="3589" dataCellStyle="Currency"/>
    <tableColumn id="6" name="Original_x000a_Appropriation_x000a_Amount" totalsRowFunction="sum" dataDxfId="3588" totalsRowDxfId="3587"/>
    <tableColumn id="7" name="Appropriation Balances1 " totalsRowFunction="sum" dataDxfId="3586" totalsRowDxfId="3585"/>
    <tableColumn id="8" name="Comment1" totalsRowLabel=" N/A " dataDxfId="3584" totalsRowDxfId="3583" dataCellStyle="Currency"/>
    <tableColumn id="9" name="Budget_x000a_Adjustments" totalsRowFunction="sum" dataDxfId="3582" totalsRowDxfId="3581"/>
    <tableColumn id="10" name="N/A" totalsRowLabel=" N/A " dataDxfId="3580" totalsRowDxfId="3579" dataCellStyle="Currency"/>
    <tableColumn id="11" name="Add: Receipts_x000a_and Recovered Amounts" totalsRowFunction="sum" dataDxfId="3578" totalsRowDxfId="3577"/>
    <tableColumn id="12" name="Less: Mandated Program Payments, Offsets,_x000a_and Interest_x000a_(see Schedule A1)" totalsRowFunction="sum" dataDxfId="3576" totalsRowDxfId="3575"/>
    <tableColumn id="13" name="N/A2" totalsRowLabel=" N/A " dataDxfId="3574" totalsRowDxfId="3573" dataCellStyle="Currency"/>
    <tableColumn id="14" name="Less: Appropriations for Reversion" totalsRowFunction="sum" dataDxfId="3572" totalsRowDxfId="3571"/>
    <tableColumn id="15" name="Appropriation Balances_x000a_as of 8/31/2023" totalsRowFunction="sum" dataDxfId="3570" totalsRowDxfId="356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: Summary of State-Mandated Program Appropriations, Receipts, and Payments. As of August 31, 2023. Grand total for all."/>
    </ext>
  </extLst>
</table>
</file>

<file path=xl/tables/table60.xml><?xml version="1.0" encoding="utf-8"?>
<table xmlns="http://schemas.openxmlformats.org/spreadsheetml/2006/main" id="45" name="school201314" displayName="school201314" ref="A271:L314" totalsRowCount="1" headerRowDxfId="2120" dataDxfId="2118" totalsRowDxfId="2116" headerRowBorderDxfId="2119" tableBorderDxfId="2117" totalsRowBorderDxfId="2115" headerRowCellStyle="Currency">
  <autoFilter ref="A271:L313"/>
  <tableColumns count="12">
    <tableColumn id="1" name="Fiscal_x000a_Year" totalsRowLabel="2013-14 Total" dataDxfId="2114" totalsRowDxfId="2113"/>
    <tableColumn id="2" name="Program_x000a_Name" totalsRowLabel="N/A" dataDxfId="2112" totalsRowDxfId="2111"/>
    <tableColumn id="3" name="Legal_x000a_Reference_x000a_(Ch./Year)" totalsRowLabel="N/A" dataDxfId="2110" totalsRowDxfId="2109"/>
    <tableColumn id="4" name="Program Number" totalsRowLabel="N/A" dataDxfId="2108" totalsRowDxfId="2107"/>
    <tableColumn id="5" name="Program_x000a_Costs" totalsRowFunction="sum" dataDxfId="2106" totalsRowDxfId="2105" dataCellStyle="Currency"/>
    <tableColumn id="6" name="Less: Net Payments and Offsets2" totalsRowFunction="sum" dataDxfId="2104" totalsRowDxfId="2103" dataCellStyle="Currency"/>
    <tableColumn id="7" name="Comment1" totalsRowLabel="N/A" dataDxfId="2102" totalsRowDxfId="2101"/>
    <tableColumn id="8" name="Accounts Payable_x000a_Balance" totalsRowFunction="sum" dataDxfId="2100" totalsRowDxfId="2099"/>
    <tableColumn id="9" name="Established_x000a_Accounts Receivable" totalsRowFunction="sum" dataDxfId="2098" totalsRowDxfId="2097"/>
    <tableColumn id="10" name="Less: Recovered Amount" totalsRowFunction="sum" dataDxfId="2096" totalsRowDxfId="2095"/>
    <tableColumn id="11" name="Accounts Receivable_x000a_Balance" totalsRowFunction="sum" dataDxfId="2094" totalsRowDxfId="2093"/>
    <tableColumn id="12" name="Net_x000a_Balance" totalsRowFunction="sum" dataDxfId="2092" totalsRowDxfId="209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1.xml><?xml version="1.0" encoding="utf-8"?>
<table xmlns="http://schemas.openxmlformats.org/spreadsheetml/2006/main" id="46" name="school201213" displayName="school201213" ref="A316:L361" totalsRowCount="1" headerRowDxfId="2090" dataDxfId="2088" totalsRowDxfId="2086" headerRowBorderDxfId="2089" tableBorderDxfId="2087" totalsRowBorderDxfId="2085" headerRowCellStyle="Currency">
  <autoFilter ref="A316:L360"/>
  <tableColumns count="12">
    <tableColumn id="1" name="Fiscal_x000a_Year" totalsRowLabel="2012-13 Total" dataDxfId="2084" totalsRowDxfId="2083"/>
    <tableColumn id="2" name="Program_x000a_Name" totalsRowLabel="N/A" dataDxfId="2082" totalsRowDxfId="2081"/>
    <tableColumn id="3" name="Legal_x000a_Reference_x000a_(Ch./Year)" totalsRowLabel="N/A" dataDxfId="2080" totalsRowDxfId="2079"/>
    <tableColumn id="4" name="Program Number" totalsRowLabel="N/A" dataDxfId="2078" totalsRowDxfId="2077"/>
    <tableColumn id="5" name="Program_x000a_Costs" totalsRowFunction="sum" dataDxfId="2076" totalsRowDxfId="2075" dataCellStyle="Currency"/>
    <tableColumn id="6" name="Less: Net Payments and Offsets2" totalsRowFunction="sum" dataDxfId="2074" totalsRowDxfId="2073" dataCellStyle="Currency"/>
    <tableColumn id="7" name="Comment1" totalsRowLabel="N/A" dataDxfId="2072" totalsRowDxfId="2071"/>
    <tableColumn id="8" name="Accounts Payable_x000a_Balance" totalsRowFunction="sum" dataDxfId="2070" totalsRowDxfId="2069"/>
    <tableColumn id="9" name="Established_x000a_Accounts Receivable" totalsRowFunction="sum" dataDxfId="2068" totalsRowDxfId="2067"/>
    <tableColumn id="10" name="Less: Recovered Amount" totalsRowFunction="sum" dataDxfId="2066" totalsRowDxfId="2065"/>
    <tableColumn id="11" name="Accounts Receivable_x000a_Balance" totalsRowFunction="sum" dataDxfId="2064" totalsRowDxfId="2063"/>
    <tableColumn id="12" name="Net_x000a_Balance" totalsRowFunction="sum" dataDxfId="2062" totalsRowDxfId="206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2.xml><?xml version="1.0" encoding="utf-8"?>
<table xmlns="http://schemas.openxmlformats.org/spreadsheetml/2006/main" id="47" name="school201112" displayName="school201112" ref="A363:L408" totalsRowCount="1" headerRowDxfId="2060" dataDxfId="2058" totalsRowDxfId="2056" headerRowBorderDxfId="2059" tableBorderDxfId="2057" totalsRowBorderDxfId="2055" headerRowCellStyle="Currency">
  <autoFilter ref="A363:L407"/>
  <tableColumns count="12">
    <tableColumn id="1" name="Fiscal_x000a_Year" totalsRowLabel="2011-12 Total" dataDxfId="2054" totalsRowDxfId="2053"/>
    <tableColumn id="2" name="Program_x000a_Name" totalsRowLabel="N/A" dataDxfId="2052" totalsRowDxfId="2051"/>
    <tableColumn id="3" name="Legal_x000a_Reference_x000a_(Ch./Year)" totalsRowLabel="N/A" dataDxfId="2050" totalsRowDxfId="2049"/>
    <tableColumn id="4" name="Program Number" totalsRowLabel="N/A" dataDxfId="2048" totalsRowDxfId="2047"/>
    <tableColumn id="5" name="Program_x000a_Costs" totalsRowFunction="sum" dataDxfId="2046" totalsRowDxfId="2045" dataCellStyle="Currency"/>
    <tableColumn id="6" name="Less: Net Payments and Offsets2" totalsRowFunction="sum" dataDxfId="2044" totalsRowDxfId="2043" dataCellStyle="Currency"/>
    <tableColumn id="7" name="Comment1" totalsRowLabel="N/A" dataDxfId="2042" totalsRowDxfId="2041"/>
    <tableColumn id="8" name="Accounts Payable_x000a_Balance" totalsRowFunction="sum" dataDxfId="2040" totalsRowDxfId="2039"/>
    <tableColumn id="9" name="Established_x000a_Accounts Receivable" totalsRowFunction="sum" dataDxfId="2038" totalsRowDxfId="2037"/>
    <tableColumn id="10" name="Less: Recovered Amount" totalsRowFunction="sum" dataDxfId="2036" totalsRowDxfId="2035"/>
    <tableColumn id="11" name="Accounts Receivable_x000a_Balance" totalsRowFunction="sum" dataDxfId="2034" totalsRowDxfId="2033"/>
    <tableColumn id="12" name="Net_x000a_Balance" totalsRowFunction="sum" dataDxfId="2032" totalsRowDxfId="203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3.xml><?xml version="1.0" encoding="utf-8"?>
<table xmlns="http://schemas.openxmlformats.org/spreadsheetml/2006/main" id="48" name="school201011" displayName="school201011" ref="A410:L460" totalsRowCount="1" headerRowDxfId="2030" dataDxfId="2028" totalsRowDxfId="2026" headerRowBorderDxfId="2029" tableBorderDxfId="2027" totalsRowBorderDxfId="2025" headerRowCellStyle="Currency">
  <autoFilter ref="A410:L459"/>
  <tableColumns count="12">
    <tableColumn id="1" name="Fiscal_x000a_Year" totalsRowLabel="2010-11 Total" dataDxfId="2024" totalsRowDxfId="2023"/>
    <tableColumn id="2" name="Program_x000a_Name" totalsRowLabel="N/A" dataDxfId="2022" totalsRowDxfId="2021"/>
    <tableColumn id="3" name="Legal_x000a_Reference_x000a_(Ch./Year)" totalsRowLabel="N/A" dataDxfId="2020" totalsRowDxfId="2019"/>
    <tableColumn id="4" name="Program Number" totalsRowLabel="N/A" dataDxfId="2018" totalsRowDxfId="2017"/>
    <tableColumn id="5" name="Program_x000a_Costs" totalsRowFunction="sum" dataDxfId="2016" totalsRowDxfId="2015" dataCellStyle="Currency"/>
    <tableColumn id="6" name="Less: Net Payments and Offsets2" totalsRowFunction="sum" dataDxfId="2014" totalsRowDxfId="2013" dataCellStyle="Currency"/>
    <tableColumn id="7" name="Comment1" totalsRowLabel="N/A" dataDxfId="2012" totalsRowDxfId="2011"/>
    <tableColumn id="8" name="Accounts Payable_x000a_Balance" totalsRowFunction="sum" dataDxfId="2010" totalsRowDxfId="2009"/>
    <tableColumn id="9" name="Established_x000a_Accounts Receivable" totalsRowFunction="sum" dataDxfId="2008" totalsRowDxfId="2007"/>
    <tableColumn id="10" name="Less: Recovered Amount" totalsRowFunction="sum" dataDxfId="2006" totalsRowDxfId="2005"/>
    <tableColumn id="11" name="Accounts Receivable_x000a_Balance" totalsRowFunction="sum" dataDxfId="2004" totalsRowDxfId="2003"/>
    <tableColumn id="12" name="Net_x000a_Balance" totalsRowFunction="sum" dataDxfId="2002" totalsRowDxfId="200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4.xml><?xml version="1.0" encoding="utf-8"?>
<table xmlns="http://schemas.openxmlformats.org/spreadsheetml/2006/main" id="49" name="school200910" displayName="school200910" ref="A462:L507" totalsRowCount="1" headerRowDxfId="2000" dataDxfId="1998" totalsRowDxfId="1997" headerRowBorderDxfId="1999" totalsRowBorderDxfId="1996" headerRowCellStyle="Currency">
  <autoFilter ref="A462:L506"/>
  <tableColumns count="12">
    <tableColumn id="1" name="Fiscal_x000a_Year" totalsRowLabel="2009-10 Total" dataDxfId="1995" totalsRowDxfId="1994"/>
    <tableColumn id="2" name="Program_x000a_Name" totalsRowLabel="N/A" dataDxfId="1993" totalsRowDxfId="1992"/>
    <tableColumn id="3" name="Legal_x000a_Reference_x000a_(Ch./Year)" totalsRowLabel="N/A" dataDxfId="1991" totalsRowDxfId="1990"/>
    <tableColumn id="4" name="Program Number" totalsRowLabel="N/A" dataDxfId="1989" totalsRowDxfId="1988"/>
    <tableColumn id="5" name="Program_x000a_Costs" totalsRowFunction="sum" dataDxfId="1987" totalsRowDxfId="1986" dataCellStyle="Currency"/>
    <tableColumn id="6" name="Less: Net Payments and Offsets2" totalsRowFunction="sum" dataDxfId="1985" totalsRowDxfId="1984" dataCellStyle="Currency"/>
    <tableColumn id="7" name="Comment1" totalsRowLabel="N/A" dataDxfId="1983" totalsRowDxfId="1982"/>
    <tableColumn id="8" name="Accounts Payable_x000a_Balance" totalsRowFunction="sum" dataDxfId="1981" totalsRowDxfId="1980"/>
    <tableColumn id="9" name="Established_x000a_Accounts Receivable" totalsRowFunction="sum" dataDxfId="1979" totalsRowDxfId="1978"/>
    <tableColumn id="10" name="Less: Recovered Amount" totalsRowFunction="sum" dataDxfId="1977" totalsRowDxfId="1976"/>
    <tableColumn id="11" name="Accounts Receivable_x000a_Balance" totalsRowFunction="sum" dataDxfId="1975" totalsRowDxfId="1974"/>
    <tableColumn id="12" name="Net_x000a_Balance" totalsRowFunction="sum" dataDxfId="1973" totalsRowDxfId="197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5.xml><?xml version="1.0" encoding="utf-8"?>
<table xmlns="http://schemas.openxmlformats.org/spreadsheetml/2006/main" id="50" name="school200809" displayName="school200809" ref="A509:L557" totalsRowCount="1" headerRowDxfId="1971" dataDxfId="1969" totalsRowDxfId="1967" headerRowBorderDxfId="1970" tableBorderDxfId="1968" totalsRowBorderDxfId="1966" headerRowCellStyle="Currency">
  <autoFilter ref="A509:L556"/>
  <tableColumns count="12">
    <tableColumn id="1" name="Fiscal_x000a_Year" totalsRowLabel="2008-09 Total" dataDxfId="1965" totalsRowDxfId="1964"/>
    <tableColumn id="2" name="Program_x000a_Name" totalsRowLabel="N/A" dataDxfId="1963" totalsRowDxfId="1962"/>
    <tableColumn id="3" name="Legal_x000a_Reference_x000a_(Ch./Year)" totalsRowLabel="N/A" dataDxfId="1961" totalsRowDxfId="1960"/>
    <tableColumn id="4" name="Program Number" totalsRowLabel="N/A" dataDxfId="1959" totalsRowDxfId="1958"/>
    <tableColumn id="5" name="Program_x000a_Costs" totalsRowFunction="sum" dataDxfId="1957" totalsRowDxfId="1956" dataCellStyle="Currency"/>
    <tableColumn id="6" name="Less: Net Payments and Offsets2" totalsRowFunction="sum" dataDxfId="1955" totalsRowDxfId="1954" dataCellStyle="Currency"/>
    <tableColumn id="7" name="Comment1" totalsRowLabel="N/A" dataDxfId="1953" totalsRowDxfId="1952"/>
    <tableColumn id="8" name="Accounts Payable_x000a_Balance" totalsRowFunction="sum" dataDxfId="1951" totalsRowDxfId="1950"/>
    <tableColumn id="9" name="Established_x000a_Accounts Receivable" totalsRowFunction="sum" dataDxfId="1949" totalsRowDxfId="1948"/>
    <tableColumn id="10" name="Less: Recovered Amount" totalsRowFunction="sum" dataDxfId="1947" totalsRowDxfId="1946"/>
    <tableColumn id="11" name="Accounts Receivable_x000a_Balance" totalsRowFunction="sum" dataDxfId="1945" totalsRowDxfId="1944"/>
    <tableColumn id="12" name="Net_x000a_Balance" totalsRowFunction="sum" dataDxfId="1943" totalsRowDxfId="194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6.xml><?xml version="1.0" encoding="utf-8"?>
<table xmlns="http://schemas.openxmlformats.org/spreadsheetml/2006/main" id="51" name="school200708" displayName="school200708" ref="A559:L609" totalsRowCount="1" headerRowDxfId="1941" dataDxfId="1939" totalsRowDxfId="1937" headerRowBorderDxfId="1940" tableBorderDxfId="1938" totalsRowBorderDxfId="1936" headerRowCellStyle="Currency">
  <autoFilter ref="A559:L608"/>
  <tableColumns count="12">
    <tableColumn id="1" name="Fiscal_x000a_Year" totalsRowLabel="2007-08 Total" dataDxfId="1935" totalsRowDxfId="1934"/>
    <tableColumn id="2" name="Program_x000a_Name" totalsRowLabel="N/A" dataDxfId="1933" totalsRowDxfId="1932"/>
    <tableColumn id="3" name="Legal_x000a_Reference_x000a_(Ch./Year)" totalsRowLabel="N/A" dataDxfId="1931" totalsRowDxfId="1930"/>
    <tableColumn id="4" name="Program Number" totalsRowLabel="N/A" dataDxfId="1929" totalsRowDxfId="1928"/>
    <tableColumn id="5" name="Program_x000a_Costs" totalsRowFunction="sum" dataDxfId="1927" totalsRowDxfId="1926" dataCellStyle="Currency"/>
    <tableColumn id="6" name="Less: Net Payments and Offsets2" totalsRowFunction="sum" dataDxfId="1925" totalsRowDxfId="1924" dataCellStyle="Currency"/>
    <tableColumn id="7" name="Comment1" totalsRowLabel="N/A" dataDxfId="1923" totalsRowDxfId="1922"/>
    <tableColumn id="8" name="Accounts Payable_x000a_Balance" totalsRowFunction="sum" dataDxfId="1921" totalsRowDxfId="1920"/>
    <tableColumn id="9" name="Established_x000a_Accounts Receivable" totalsRowFunction="sum" dataDxfId="1919" totalsRowDxfId="1918"/>
    <tableColumn id="10" name="Less: Recovered Amount" totalsRowFunction="sum" dataDxfId="1917" totalsRowDxfId="1916"/>
    <tableColumn id="11" name="Accounts Receivable_x000a_Balance" totalsRowFunction="sum" dataDxfId="1915" totalsRowDxfId="1914"/>
    <tableColumn id="12" name="Net_x000a_Balance" totalsRowFunction="sum" dataDxfId="1913" totalsRowDxfId="19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7.xml><?xml version="1.0" encoding="utf-8"?>
<table xmlns="http://schemas.openxmlformats.org/spreadsheetml/2006/main" id="52" name="school200607" displayName="school200607" ref="A611:L662" totalsRowCount="1" headerRowDxfId="1911" dataDxfId="1909" totalsRowDxfId="1907" headerRowBorderDxfId="1910" tableBorderDxfId="1908" totalsRowBorderDxfId="1906" headerRowCellStyle="Currency">
  <autoFilter ref="A611:L661"/>
  <tableColumns count="12">
    <tableColumn id="1" name="Fiscal_x000a_Year" totalsRowLabel="2006-07 Total" dataDxfId="1905" totalsRowDxfId="1904"/>
    <tableColumn id="2" name="Program_x000a_Name" totalsRowLabel="N/A" dataDxfId="1903" totalsRowDxfId="1902"/>
    <tableColumn id="3" name="Legal_x000a_Reference_x000a_(Ch./Year)" totalsRowLabel="N/A" dataDxfId="1901" totalsRowDxfId="1900"/>
    <tableColumn id="4" name="Program Number" totalsRowLabel="N/A" dataDxfId="1899" totalsRowDxfId="1898"/>
    <tableColumn id="5" name="Program_x000a_Costs" totalsRowFunction="sum" dataDxfId="1897" totalsRowDxfId="1896" dataCellStyle="Currency"/>
    <tableColumn id="6" name="Less: Net Payments and Offsets2" totalsRowFunction="sum" dataDxfId="1895" totalsRowDxfId="1894" dataCellStyle="Currency"/>
    <tableColumn id="7" name="Comment1" totalsRowLabel="N/A" dataDxfId="1893" totalsRowDxfId="1892"/>
    <tableColumn id="8" name="Accounts Payable_x000a_Balance" totalsRowFunction="sum" dataDxfId="1891" totalsRowDxfId="1890"/>
    <tableColumn id="9" name="Established_x000a_Accounts Receivable" totalsRowFunction="sum" dataDxfId="1889" totalsRowDxfId="1888"/>
    <tableColumn id="10" name="Less: Recovered Amount" totalsRowFunction="sum" dataDxfId="1887" totalsRowDxfId="1886"/>
    <tableColumn id="11" name="Accounts Receivable_x000a_Balance" totalsRowFunction="sum" dataDxfId="1885" totalsRowDxfId="1884"/>
    <tableColumn id="12" name="Net_x000a_Balance" totalsRowFunction="sum" dataDxfId="1883" totalsRowDxfId="18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8.xml><?xml version="1.0" encoding="utf-8"?>
<table xmlns="http://schemas.openxmlformats.org/spreadsheetml/2006/main" id="53" name="school200506" displayName="school200506" ref="A664:L711" totalsRowCount="1" headerRowDxfId="1881" dataDxfId="1879" totalsRowDxfId="1877" headerRowBorderDxfId="1880" tableBorderDxfId="1878" totalsRowBorderDxfId="1876" headerRowCellStyle="Currency">
  <autoFilter ref="A664:L710"/>
  <tableColumns count="12">
    <tableColumn id="1" name="Fiscal_x000a_Year" totalsRowLabel="2005-06 Total" dataDxfId="1875" totalsRowDxfId="1874"/>
    <tableColumn id="2" name="Program_x000a_Name" totalsRowLabel="N/A" dataDxfId="1873" totalsRowDxfId="1872"/>
    <tableColumn id="3" name="Legal_x000a_Reference_x000a_(Ch./Year)" totalsRowLabel="N/A" dataDxfId="1871" totalsRowDxfId="1870"/>
    <tableColumn id="4" name="Program Number" totalsRowLabel="N/A" dataDxfId="1869" totalsRowDxfId="1868"/>
    <tableColumn id="5" name="Program_x000a_Costs" totalsRowFunction="sum" dataDxfId="1867" totalsRowDxfId="1866" dataCellStyle="Currency"/>
    <tableColumn id="6" name="Less: Net Payments and Offsets2" totalsRowFunction="sum" dataDxfId="1865" totalsRowDxfId="1864" dataCellStyle="Currency"/>
    <tableColumn id="7" name="Comment1" totalsRowLabel="N/A" dataDxfId="1863" totalsRowDxfId="1862"/>
    <tableColumn id="8" name="Accounts Payable_x000a_Balance" totalsRowFunction="sum" dataDxfId="1861" totalsRowDxfId="1860"/>
    <tableColumn id="9" name="Established_x000a_Accounts Receivable" totalsRowFunction="sum" dataDxfId="1859" totalsRowDxfId="1858"/>
    <tableColumn id="10" name="Less: Recovered Amount" totalsRowFunction="sum" dataDxfId="1857" totalsRowDxfId="1856"/>
    <tableColumn id="11" name="Accounts Receivable_x000a_Balance" totalsRowFunction="sum" dataDxfId="1855" totalsRowDxfId="1854"/>
    <tableColumn id="12" name="Net_x000a_Balance" totalsRowFunction="sum" dataDxfId="1853" totalsRowDxfId="18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69.xml><?xml version="1.0" encoding="utf-8"?>
<table xmlns="http://schemas.openxmlformats.org/spreadsheetml/2006/main" id="54" name="school200405" displayName="school200405" ref="A713:L754" totalsRowCount="1" headerRowDxfId="1851" dataDxfId="1849" totalsRowDxfId="1847" headerRowBorderDxfId="1850" tableBorderDxfId="1848" totalsRowBorderDxfId="1846" headerRowCellStyle="Currency">
  <autoFilter ref="A713:L753"/>
  <tableColumns count="12">
    <tableColumn id="1" name="Fiscal_x000a_Year" totalsRowLabel="2004-05 Total" dataDxfId="1845" totalsRowDxfId="1844"/>
    <tableColumn id="2" name="Program_x000a_Name" totalsRowLabel="N/A" dataDxfId="1843" totalsRowDxfId="1842"/>
    <tableColumn id="3" name="Legal_x000a_Reference_x000a_(Ch./Year)" totalsRowLabel="N/A" dataDxfId="1841" totalsRowDxfId="1840"/>
    <tableColumn id="4" name="Program Number" totalsRowLabel="N/A" dataDxfId="1839" totalsRowDxfId="1838"/>
    <tableColumn id="5" name="Program_x000a_Costs" totalsRowFunction="sum" dataDxfId="1837" totalsRowDxfId="1836" dataCellStyle="Currency"/>
    <tableColumn id="6" name="Less: Net Payments and Offsets2" totalsRowFunction="sum" dataDxfId="1835" totalsRowDxfId="1834" dataCellStyle="Currency"/>
    <tableColumn id="7" name="Comment1" totalsRowLabel="N/A" dataDxfId="1833" totalsRowDxfId="1832"/>
    <tableColumn id="8" name="Accounts Payable_x000a_Balance" totalsRowFunction="sum" dataDxfId="1831" totalsRowDxfId="1830"/>
    <tableColumn id="9" name="Established_x000a_Accounts Receivable" totalsRowFunction="sum" dataDxfId="1829" totalsRowDxfId="1828"/>
    <tableColumn id="10" name="Less: Recovered Amount" totalsRowFunction="sum" dataDxfId="1827" totalsRowDxfId="1826"/>
    <tableColumn id="11" name="Accounts Receivable_x000a_Balance" totalsRowFunction="sum" dataDxfId="1825" totalsRowDxfId="1824"/>
    <tableColumn id="12" name="Net_x000a_Balance" totalsRowFunction="sum" dataDxfId="1823" totalsRowDxfId="18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.xml><?xml version="1.0" encoding="utf-8"?>
<table xmlns="http://schemas.openxmlformats.org/spreadsheetml/2006/main" id="105" name="localannualclaim22" displayName="localannualclaim22" ref="A2:I36" totalsRowCount="1" headerRowDxfId="3568" totalsRowDxfId="3565" headerRowBorderDxfId="3567" tableBorderDxfId="3566" totalsRowBorderDxfId="3564">
  <autoFilter ref="A2:I35"/>
  <tableColumns count="9">
    <tableColumn id="1" name="Program Category_x000a_and Type of Payment" totalsRowLabel="0001-8885-2023-295-98 Total" totalsRowDxfId="3563"/>
    <tableColumn id="2" name="Fiscal _x000a_Year" totalsRowLabel="N/A" dataDxfId="3562" totalsRowDxfId="3561"/>
    <tableColumn id="3" name="Appropriation _x000a_Number" totalsRowLabel="N/A" totalsRowDxfId="3560"/>
    <tableColumn id="4" name="Program _x000a_Name" totalsRowLabel="N/A" dataDxfId="3559" totalsRowDxfId="3558"/>
    <tableColumn id="5" name="Legal_x000a_ Reference _x000a_(Ch./Year)" totalsRowLabel="N/A" dataDxfId="3557" totalsRowDxfId="3556"/>
    <tableColumn id="6" name="Program _x000a_Number" totalsRowLabel="N/A" dataDxfId="3555" totalsRowDxfId="3554"/>
    <tableColumn id="7" name="Program Payments and Offsets" totalsRowFunction="sum" dataDxfId="3553" dataCellStyle="Currency"/>
    <tableColumn id="8" name="Interest_x000a_Payments and Offsets" totalsRowFunction="sum" dataDxfId="3552"/>
    <tableColumn id="9" name="Total _x000a_Payments" totalsRowFunction="sum" dataDxfId="355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1: Detail of State-Mandated Program Payments by Fiscal Year. As of August 31, 2023. Local Agencies-Annual Claim."/>
    </ext>
  </extLst>
</table>
</file>

<file path=xl/tables/table70.xml><?xml version="1.0" encoding="utf-8"?>
<table xmlns="http://schemas.openxmlformats.org/spreadsheetml/2006/main" id="55" name="school200304" displayName="school200304" ref="A756:L773" totalsRowCount="1" headerRowDxfId="1821" dataDxfId="1819" totalsRowDxfId="1817" headerRowBorderDxfId="1820" tableBorderDxfId="1818" totalsRowBorderDxfId="1816" headerRowCellStyle="Currency">
  <autoFilter ref="A756:L772"/>
  <tableColumns count="12">
    <tableColumn id="1" name="Fiscal_x000a_Year" totalsRowLabel="2003-04 Total" dataDxfId="1815" totalsRowDxfId="1814"/>
    <tableColumn id="2" name="Program_x000a_Name" totalsRowLabel="N/A" dataDxfId="1813" totalsRowDxfId="1812"/>
    <tableColumn id="3" name="Legal_x000a_Reference_x000a_(Ch./Year)" totalsRowLabel="N/A" dataDxfId="1811" totalsRowDxfId="1810"/>
    <tableColumn id="4" name="Program Number" totalsRowLabel="N/A" dataDxfId="1809" totalsRowDxfId="1808"/>
    <tableColumn id="5" name="Program_x000a_Costs" totalsRowFunction="sum" dataDxfId="1807" totalsRowDxfId="1806" dataCellStyle="Currency"/>
    <tableColumn id="6" name="Less: Net Payments and Offsets2" totalsRowFunction="sum" dataDxfId="1805" totalsRowDxfId="1804" dataCellStyle="Currency"/>
    <tableColumn id="7" name="Comment1" totalsRowLabel="N/A" dataDxfId="1803" totalsRowDxfId="1802"/>
    <tableColumn id="8" name="Accounts Payable_x000a_Balance" totalsRowFunction="sum" dataDxfId="1801" totalsRowDxfId="1800"/>
    <tableColumn id="9" name="Established_x000a_Accounts Receivable" totalsRowFunction="sum" dataDxfId="1799" totalsRowDxfId="1798"/>
    <tableColumn id="10" name="Less: Recovered Amount" totalsRowFunction="sum" dataDxfId="1797" totalsRowDxfId="1796"/>
    <tableColumn id="11" name="Accounts Receivable_x000a_Balance" totalsRowFunction="sum" dataDxfId="1795" totalsRowDxfId="1794"/>
    <tableColumn id="12" name="Net_x000a_Balance" totalsRowFunction="sum" dataDxfId="1793" totalsRowDxfId="17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1.xml><?xml version="1.0" encoding="utf-8"?>
<table xmlns="http://schemas.openxmlformats.org/spreadsheetml/2006/main" id="56" name="school200203" displayName="school200203" ref="A775:L790" totalsRowCount="1" headerRowDxfId="1791" dataDxfId="1789" totalsRowDxfId="1787" headerRowBorderDxfId="1790" tableBorderDxfId="1788" totalsRowBorderDxfId="1786" headerRowCellStyle="Currency">
  <autoFilter ref="A775:L789"/>
  <tableColumns count="12">
    <tableColumn id="1" name="Fiscal_x000a_Year" totalsRowLabel="2002-03 Total" dataDxfId="1785" totalsRowDxfId="1784"/>
    <tableColumn id="2" name="Program_x000a_Name" totalsRowLabel="N/A" dataDxfId="1783" totalsRowDxfId="1782"/>
    <tableColumn id="3" name="Legal_x000a_Reference_x000a_(Ch./Year)" totalsRowLabel="N/A" dataDxfId="1781" totalsRowDxfId="1780"/>
    <tableColumn id="4" name="Program Number" totalsRowLabel="N/A" dataDxfId="1779" totalsRowDxfId="1778"/>
    <tableColumn id="5" name="Program_x000a_Costs" totalsRowFunction="sum" dataDxfId="1777" totalsRowDxfId="1776" dataCellStyle="Currency"/>
    <tableColumn id="6" name="Less: Net Payments and Offsets2" totalsRowFunction="sum" dataDxfId="1775" totalsRowDxfId="1774" dataCellStyle="Currency"/>
    <tableColumn id="7" name="Comment1" totalsRowLabel="N/A" dataDxfId="1773" totalsRowDxfId="1772"/>
    <tableColumn id="8" name="Accounts Payable_x000a_Balance" totalsRowFunction="sum" dataDxfId="1771" totalsRowDxfId="1770"/>
    <tableColumn id="9" name="Established_x000a_Accounts Receivable" totalsRowFunction="sum" dataDxfId="1769" totalsRowDxfId="1768"/>
    <tableColumn id="10" name="Less: Recovered Amount" totalsRowFunction="sum" dataDxfId="1767" totalsRowDxfId="1766"/>
    <tableColumn id="11" name="Accounts Receivable_x000a_Balance" totalsRowFunction="sum" dataDxfId="1765" totalsRowDxfId="1764"/>
    <tableColumn id="12" name="Net_x000a_Balance" totalsRowFunction="sum" dataDxfId="1763" totalsRowDxfId="17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2.xml><?xml version="1.0" encoding="utf-8"?>
<table xmlns="http://schemas.openxmlformats.org/spreadsheetml/2006/main" id="57" name="school200102" displayName="school200102" ref="A792:L824" totalsRowCount="1" headerRowDxfId="1761" dataDxfId="1759" totalsRowDxfId="1757" headerRowBorderDxfId="1760" tableBorderDxfId="1758" totalsRowBorderDxfId="1756" headerRowCellStyle="Currency">
  <autoFilter ref="A792:L823"/>
  <tableColumns count="12">
    <tableColumn id="1" name="Fiscal_x000a_Year" totalsRowLabel="2001-02 Total" dataDxfId="1755" totalsRowDxfId="1754"/>
    <tableColumn id="2" name="Program_x000a_Name" totalsRowLabel="N/A" dataDxfId="1753" totalsRowDxfId="1752"/>
    <tableColumn id="3" name="Legal_x000a_Reference_x000a_(Ch./Year)" totalsRowLabel="N/A" dataDxfId="1751" totalsRowDxfId="1750"/>
    <tableColumn id="4" name="Program Number" totalsRowLabel="N/A" dataDxfId="1749" totalsRowDxfId="1748"/>
    <tableColumn id="5" name="Program_x000a_Costs" totalsRowFunction="sum" dataDxfId="1747" totalsRowDxfId="1746" dataCellStyle="Currency"/>
    <tableColumn id="6" name="Less: Net Payments and Offsets2" totalsRowFunction="sum" dataDxfId="1745" totalsRowDxfId="1744" dataCellStyle="Currency"/>
    <tableColumn id="7" name="Comment1" totalsRowLabel="N/A" dataDxfId="1743" totalsRowDxfId="1742"/>
    <tableColumn id="8" name="Accounts Payable_x000a_Balance" totalsRowFunction="sum" dataDxfId="1741" totalsRowDxfId="1740"/>
    <tableColumn id="9" name="Established_x000a_Accounts Receivable" totalsRowFunction="sum" dataDxfId="1739" totalsRowDxfId="1738"/>
    <tableColumn id="10" name="Less: Recovered Amount" totalsRowFunction="sum" dataDxfId="1737" totalsRowDxfId="1736"/>
    <tableColumn id="11" name="Accounts Receivable_x000a_Balance" totalsRowFunction="sum" dataDxfId="1735" totalsRowDxfId="1734"/>
    <tableColumn id="12" name="Net_x000a_Balance" totalsRowFunction="sum" dataDxfId="1733" totalsRowDxfId="17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3.xml><?xml version="1.0" encoding="utf-8"?>
<table xmlns="http://schemas.openxmlformats.org/spreadsheetml/2006/main" id="58" name="school200001" displayName="school200001" ref="A826:L848" totalsRowCount="1" headerRowDxfId="1731" dataDxfId="1729" totalsRowDxfId="1727" headerRowBorderDxfId="1730" tableBorderDxfId="1728" totalsRowBorderDxfId="1726" headerRowCellStyle="Currency">
  <autoFilter ref="A826:L847"/>
  <tableColumns count="12">
    <tableColumn id="1" name="Fiscal_x000a_Year" totalsRowLabel="2000-01 Total" dataDxfId="1725" totalsRowDxfId="1724"/>
    <tableColumn id="2" name="Program_x000a_Name" totalsRowLabel="N/A" dataDxfId="1723" totalsRowDxfId="1722"/>
    <tableColumn id="3" name="Legal_x000a_Reference_x000a_(Ch./Year)" totalsRowLabel="N/A" dataDxfId="1721" totalsRowDxfId="1720"/>
    <tableColumn id="4" name="Program Number" totalsRowLabel="N/A" dataDxfId="1719" totalsRowDxfId="1718"/>
    <tableColumn id="5" name="Program_x000a_Costs" totalsRowFunction="sum" dataDxfId="1717" totalsRowDxfId="1716" dataCellStyle="Currency"/>
    <tableColumn id="6" name="Less: Net Payments and Offsets2" totalsRowFunction="sum" dataDxfId="1715" totalsRowDxfId="1714" dataCellStyle="Currency"/>
    <tableColumn id="7" name="Comment1" totalsRowLabel="N/A" dataDxfId="1713" totalsRowDxfId="1712"/>
    <tableColumn id="8" name="Accounts Payable_x000a_Balance" totalsRowFunction="sum" dataDxfId="1711" totalsRowDxfId="1710"/>
    <tableColumn id="9" name="Established_x000a_Accounts Receivable" totalsRowFunction="sum" dataDxfId="1709" totalsRowDxfId="1708"/>
    <tableColumn id="10" name="Less: Recovered Amount" totalsRowFunction="sum" dataDxfId="1707" totalsRowDxfId="1706"/>
    <tableColumn id="11" name="Accounts Receivable_x000a_Balance" totalsRowFunction="sum" dataDxfId="1705" totalsRowDxfId="1704"/>
    <tableColumn id="12" name="Net_x000a_Balance" totalsRowFunction="sum" dataDxfId="1703" totalsRowDxfId="17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4.xml><?xml version="1.0" encoding="utf-8"?>
<table xmlns="http://schemas.openxmlformats.org/spreadsheetml/2006/main" id="59" name="school199900" displayName="school199900" ref="A850:L862" totalsRowCount="1" headerRowDxfId="1701" dataDxfId="1699" totalsRowDxfId="1697" headerRowBorderDxfId="1700" tableBorderDxfId="1698" totalsRowBorderDxfId="1696" headerRowCellStyle="Currency">
  <autoFilter ref="A850:L861"/>
  <tableColumns count="12">
    <tableColumn id="1" name="Fiscal_x000a_Year" totalsRowLabel="1999-00 Total" dataDxfId="1695" totalsRowDxfId="1694"/>
    <tableColumn id="2" name="Program_x000a_Name" totalsRowLabel="N/A" dataDxfId="1693" totalsRowDxfId="1692"/>
    <tableColumn id="3" name="Legal_x000a_Reference_x000a_(Ch./Year)" totalsRowLabel="N/A" dataDxfId="1691" totalsRowDxfId="1690"/>
    <tableColumn id="4" name="Program Number" totalsRowLabel="N/A" dataDxfId="1689" totalsRowDxfId="1688"/>
    <tableColumn id="5" name="Program_x000a_Costs" totalsRowFunction="sum" dataDxfId="1687" totalsRowDxfId="1686" dataCellStyle="Currency"/>
    <tableColumn id="6" name="Less: Net Payments and Offsets2" totalsRowFunction="sum" dataDxfId="1685" totalsRowDxfId="1684" dataCellStyle="Currency"/>
    <tableColumn id="7" name="Comment1" totalsRowLabel="N/A" dataDxfId="1683" totalsRowDxfId="1682"/>
    <tableColumn id="8" name="Accounts Payable_x000a_Balance" totalsRowFunction="sum" dataDxfId="1681" totalsRowDxfId="1680"/>
    <tableColumn id="9" name="Established_x000a_Accounts Receivable" totalsRowFunction="sum" dataDxfId="1679" totalsRowDxfId="1678"/>
    <tableColumn id="10" name="Less: Recovered Amount" totalsRowFunction="sum" dataDxfId="1677" totalsRowDxfId="1676"/>
    <tableColumn id="11" name="Accounts Receivable_x000a_Balance" totalsRowFunction="sum" dataDxfId="1675" totalsRowDxfId="1674"/>
    <tableColumn id="12" name="Net_x000a_Balance" totalsRowFunction="sum" dataDxfId="1673" totalsRowDxfId="167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5.xml><?xml version="1.0" encoding="utf-8"?>
<table xmlns="http://schemas.openxmlformats.org/spreadsheetml/2006/main" id="60" name="school199899" displayName="school199899" ref="A864:L871" totalsRowCount="1" headerRowDxfId="1671" dataDxfId="1669" totalsRowDxfId="1667" headerRowBorderDxfId="1670" tableBorderDxfId="1668" totalsRowBorderDxfId="1666" headerRowCellStyle="Currency">
  <autoFilter ref="A864:L870"/>
  <tableColumns count="12">
    <tableColumn id="1" name="Fiscal_x000a_Year" totalsRowLabel="1998-99 Total" dataDxfId="1665" totalsRowDxfId="1664"/>
    <tableColumn id="2" name="Program_x000a_Name" totalsRowLabel="N/A" dataDxfId="1663" totalsRowDxfId="1662"/>
    <tableColumn id="3" name="Legal_x000a_Reference_x000a_(Ch./Year)" totalsRowLabel="N/A" dataDxfId="1661" totalsRowDxfId="1660"/>
    <tableColumn id="4" name="Program Number" totalsRowLabel="N/A" dataDxfId="1659" totalsRowDxfId="1658"/>
    <tableColumn id="5" name="Program_x000a_Costs" totalsRowFunction="sum" dataDxfId="1657" totalsRowDxfId="1656" dataCellStyle="Currency"/>
    <tableColumn id="6" name="Less: Net Payments and Offsets2" totalsRowFunction="sum" dataDxfId="1655" totalsRowDxfId="1654" dataCellStyle="Currency"/>
    <tableColumn id="7" name="Comment1" totalsRowLabel="N/A" dataDxfId="1653" totalsRowDxfId="1652"/>
    <tableColumn id="8" name="Accounts Payable_x000a_Balance" totalsRowFunction="sum" dataDxfId="1651" totalsRowDxfId="1650"/>
    <tableColumn id="9" name="Established_x000a_Accounts Receivable" totalsRowFunction="sum" dataDxfId="1649" totalsRowDxfId="1648"/>
    <tableColumn id="10" name="Less: Recovered Amount" totalsRowFunction="sum" dataDxfId="1647" totalsRowDxfId="1646"/>
    <tableColumn id="11" name="Accounts Receivable_x000a_Balance" totalsRowFunction="sum" dataDxfId="1645" totalsRowDxfId="1644"/>
    <tableColumn id="12" name="Net_x000a_Balance" totalsRowFunction="sum" dataDxfId="1643" totalsRowDxfId="164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6.xml><?xml version="1.0" encoding="utf-8"?>
<table xmlns="http://schemas.openxmlformats.org/spreadsheetml/2006/main" id="61" name="school199798" displayName="school199798" ref="A873:L880" totalsRowCount="1" headerRowDxfId="1641" dataDxfId="1639" totalsRowDxfId="1637" headerRowBorderDxfId="1640" tableBorderDxfId="1638" totalsRowBorderDxfId="1636" headerRowCellStyle="Currency">
  <autoFilter ref="A873:L879"/>
  <tableColumns count="12">
    <tableColumn id="1" name="Fiscal_x000a_Year" totalsRowLabel="1997-98 Total" dataDxfId="1635" totalsRowDxfId="1634"/>
    <tableColumn id="2" name="Program_x000a_Name" totalsRowLabel="N/A" dataDxfId="1633" totalsRowDxfId="1632"/>
    <tableColumn id="3" name="Legal_x000a_Reference_x000a_(Ch./Year)" totalsRowLabel="N/A" dataDxfId="1631" totalsRowDxfId="1630"/>
    <tableColumn id="4" name="Program Number" totalsRowLabel="N/A" dataDxfId="1629" totalsRowDxfId="1628"/>
    <tableColumn id="5" name="Program_x000a_Costs" totalsRowFunction="sum" dataDxfId="1627" totalsRowDxfId="1626" dataCellStyle="Currency"/>
    <tableColumn id="6" name="Less: Net Payments and Offsets2" totalsRowFunction="sum" dataDxfId="1625" totalsRowDxfId="1624" dataCellStyle="Currency"/>
    <tableColumn id="7" name="Comment1" totalsRowLabel="N/A" dataDxfId="1623" totalsRowDxfId="1622"/>
    <tableColumn id="8" name="Accounts Payable_x000a_Balance" totalsRowFunction="sum" dataDxfId="1621" totalsRowDxfId="1620"/>
    <tableColumn id="9" name="Established_x000a_Accounts Receivable" totalsRowFunction="sum" dataDxfId="1619" totalsRowDxfId="1618"/>
    <tableColumn id="10" name="Less: Recovered Amount" totalsRowFunction="sum" dataDxfId="1617" totalsRowDxfId="1616"/>
    <tableColumn id="11" name="Accounts Receivable_x000a_Balance" totalsRowFunction="sum" dataDxfId="1615" totalsRowDxfId="1614"/>
    <tableColumn id="12" name="Net_x000a_Balance" totalsRowFunction="sum" dataDxfId="1613" totalsRowDxfId="16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7.xml><?xml version="1.0" encoding="utf-8"?>
<table xmlns="http://schemas.openxmlformats.org/spreadsheetml/2006/main" id="62" name="school199697" displayName="school199697" ref="A882:L888" totalsRowCount="1" headerRowDxfId="1611" dataDxfId="1609" totalsRowDxfId="1607" headerRowBorderDxfId="1610" tableBorderDxfId="1608" totalsRowBorderDxfId="1606" headerRowCellStyle="Currency">
  <autoFilter ref="A882:L887"/>
  <tableColumns count="12">
    <tableColumn id="1" name="Fiscal_x000a_Year" totalsRowLabel="1996-97 Total" dataDxfId="1605" totalsRowDxfId="1604"/>
    <tableColumn id="2" name="Program_x000a_Name" totalsRowLabel="N/A" dataDxfId="1603" totalsRowDxfId="1602"/>
    <tableColumn id="3" name="Legal_x000a_Reference_x000a_(Ch./Year)" totalsRowLabel="N/A" dataDxfId="1601" totalsRowDxfId="1600"/>
    <tableColumn id="4" name="Program Number" totalsRowLabel="N/A" dataDxfId="1599" totalsRowDxfId="1598"/>
    <tableColumn id="5" name="Program_x000a_Costs" totalsRowFunction="sum" dataDxfId="1597" totalsRowDxfId="1596" dataCellStyle="Currency"/>
    <tableColumn id="6" name="Less: Net Payments and Offsets2" totalsRowFunction="sum" dataDxfId="1595" totalsRowDxfId="1594" dataCellStyle="Currency"/>
    <tableColumn id="7" name="Comment1" totalsRowLabel="N/A" dataDxfId="1593" totalsRowDxfId="1592"/>
    <tableColumn id="8" name="Accounts Payable_x000a_Balance" totalsRowFunction="sum" dataDxfId="1591" totalsRowDxfId="1590"/>
    <tableColumn id="9" name="Established_x000a_Accounts Receivable" totalsRowFunction="sum" dataDxfId="1589" totalsRowDxfId="1588"/>
    <tableColumn id="10" name="Less: Recovered Amount" totalsRowFunction="sum" dataDxfId="1587" totalsRowDxfId="1586"/>
    <tableColumn id="11" name="Accounts Receivable_x000a_Balance" totalsRowFunction="sum" dataDxfId="1585" totalsRowDxfId="1584"/>
    <tableColumn id="12" name="Net_x000a_Balance" totalsRowFunction="sum" dataDxfId="1583" totalsRowDxfId="15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8.xml><?xml version="1.0" encoding="utf-8"?>
<table xmlns="http://schemas.openxmlformats.org/spreadsheetml/2006/main" id="63" name="school199596" displayName="school199596" ref="A890:L899" totalsRowCount="1" headerRowDxfId="1581" dataDxfId="1579" totalsRowDxfId="1577" headerRowBorderDxfId="1580" tableBorderDxfId="1578" totalsRowBorderDxfId="1576" headerRowCellStyle="Currency">
  <autoFilter ref="A890:L898"/>
  <tableColumns count="12">
    <tableColumn id="1" name="Fiscal_x000a_Year" totalsRowLabel="1995-96 Total" dataDxfId="1575" totalsRowDxfId="1574"/>
    <tableColumn id="2" name="Program_x000a_Name" totalsRowLabel="N/A" dataDxfId="1573" totalsRowDxfId="1572"/>
    <tableColumn id="3" name="Legal_x000a_Reference_x000a_(Ch./Year)" totalsRowLabel="N/A" dataDxfId="1571" totalsRowDxfId="1570"/>
    <tableColumn id="4" name="Program Number" totalsRowLabel="N/A" dataDxfId="1569" totalsRowDxfId="1568"/>
    <tableColumn id="5" name="Program_x000a_Costs" totalsRowFunction="sum" dataDxfId="1567" totalsRowDxfId="1566" dataCellStyle="Currency"/>
    <tableColumn id="6" name="Less: Net Payments and Offsets2" totalsRowFunction="sum" dataDxfId="1565" totalsRowDxfId="1564" dataCellStyle="Currency"/>
    <tableColumn id="7" name="Comment1" totalsRowLabel="N/A" dataDxfId="1563" totalsRowDxfId="1562"/>
    <tableColumn id="8" name="Accounts Payable_x000a_Balance" totalsRowFunction="sum" dataDxfId="1561" totalsRowDxfId="1560"/>
    <tableColumn id="9" name="Established_x000a_Accounts Receivable" totalsRowFunction="sum" dataDxfId="1559" totalsRowDxfId="1558"/>
    <tableColumn id="10" name="Less: Recovered Amount" totalsRowFunction="sum" dataDxfId="1557" totalsRowDxfId="1556"/>
    <tableColumn id="11" name="Accounts Receivable_x000a_Balance" totalsRowFunction="sum" dataDxfId="1555" totalsRowDxfId="1554"/>
    <tableColumn id="12" name="Net_x000a_Balance" totalsRowFunction="sum" dataDxfId="1553" totalsRowDxfId="15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79.xml><?xml version="1.0" encoding="utf-8"?>
<table xmlns="http://schemas.openxmlformats.org/spreadsheetml/2006/main" id="64" name="school199495" displayName="school199495" ref="A901:L906" totalsRowCount="1" headerRowDxfId="1551" dataDxfId="1549" totalsRowDxfId="1547" headerRowBorderDxfId="1550" tableBorderDxfId="1548" totalsRowBorderDxfId="1546" headerRowCellStyle="Currency">
  <autoFilter ref="A901:L905"/>
  <tableColumns count="12">
    <tableColumn id="1" name="Fiscal_x000a_Year" totalsRowLabel="1994-95 Total" dataDxfId="1545" totalsRowDxfId="1544"/>
    <tableColumn id="2" name="Program_x000a_Name" totalsRowLabel="N/A" dataDxfId="1543" totalsRowDxfId="1542"/>
    <tableColumn id="3" name="Legal_x000a_Reference_x000a_(Ch./Year)" totalsRowLabel="N/A" dataDxfId="1541" totalsRowDxfId="1540"/>
    <tableColumn id="4" name="Program Number" totalsRowLabel="N/A" dataDxfId="1539" totalsRowDxfId="1538"/>
    <tableColumn id="5" name="Program_x000a_Costs" totalsRowFunction="sum" dataDxfId="1537" totalsRowDxfId="1536" dataCellStyle="Currency"/>
    <tableColumn id="6" name="Less: Net Payments and Offsets2" totalsRowFunction="sum" dataDxfId="1535" totalsRowDxfId="1534" dataCellStyle="Currency"/>
    <tableColumn id="7" name="Comment1" totalsRowLabel="N/A" dataDxfId="1533" totalsRowDxfId="1532"/>
    <tableColumn id="8" name="Accounts Payable_x000a_Balance" totalsRowFunction="sum" dataDxfId="1531" totalsRowDxfId="1530"/>
    <tableColumn id="9" name="Established_x000a_Accounts Receivable" totalsRowFunction="sum" dataDxfId="1529" totalsRowDxfId="1528"/>
    <tableColumn id="10" name="Less: Recovered Amount" totalsRowFunction="sum" dataDxfId="1527" totalsRowDxfId="1526"/>
    <tableColumn id="11" name="Accounts Receivable_x000a_Balance" totalsRowFunction="sum" dataDxfId="1525" totalsRowDxfId="1524"/>
    <tableColumn id="12" name="Net_x000a_Balance" totalsRowFunction="sum" dataDxfId="1523" totalsRowDxfId="15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.xml><?xml version="1.0" encoding="utf-8"?>
<table xmlns="http://schemas.openxmlformats.org/spreadsheetml/2006/main" id="106" name="localannualclaim20" displayName="localannualclaim20" ref="A38:I62" totalsRowCount="1" headerRowDxfId="3550" dataDxfId="3548" totalsRowDxfId="3546" headerRowBorderDxfId="3549" tableBorderDxfId="3547" totalsRowBorderDxfId="3545" dataCellStyle="Currency">
  <autoFilter ref="A38:I61"/>
  <tableColumns count="9">
    <tableColumn id="1" name="Program Category_x000a_and Type of Payment" totalsRowLabel="0001-8885-2023-296-98 Total" dataDxfId="3544" totalsRowDxfId="3543"/>
    <tableColumn id="2" name="Fiscal _x000a_Year" totalsRowLabel="N/A" dataDxfId="3542" totalsRowDxfId="3541"/>
    <tableColumn id="3" name="Appropriation _x000a_Number" totalsRowLabel="N/A" dataDxfId="3540" totalsRowDxfId="3539"/>
    <tableColumn id="4" name="Program _x000a_Name" totalsRowLabel="N/A" dataDxfId="3538" totalsRowDxfId="3537"/>
    <tableColumn id="5" name="Legal_x000a_ Reference _x000a_(Ch./Year)" totalsRowLabel="N/A" dataDxfId="3536" totalsRowDxfId="3535"/>
    <tableColumn id="6" name="Program _x000a_Number" totalsRowLabel="N/A" dataDxfId="3534" totalsRowDxfId="3533"/>
    <tableColumn id="7" name="Program Payments and Offsets" totalsRowFunction="sum" dataDxfId="3532" totalsRowDxfId="3531" dataCellStyle="Currency"/>
    <tableColumn id="8" name="Interest_x000a_Payments and Offsets" totalsRowFunction="sum" dataDxfId="3530" totalsRowDxfId="3529" dataCellStyle="Currency"/>
    <tableColumn id="9" name="Total _x000a_Payments" totalsRowFunction="sum" dataDxfId="3528" totalsRowDxfId="352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1: Detail of State-Mandated Program Payments by Fiscal Year. As of August 31, 2023. Local Agencies-Annual Claim."/>
    </ext>
  </extLst>
</table>
</file>

<file path=xl/tables/table80.xml><?xml version="1.0" encoding="utf-8"?>
<table xmlns="http://schemas.openxmlformats.org/spreadsheetml/2006/main" id="65" name="school199394" displayName="school199394" ref="A908:L913" totalsRowCount="1" headerRowDxfId="1521" dataDxfId="1519" totalsRowDxfId="1517" headerRowBorderDxfId="1520" tableBorderDxfId="1518" totalsRowBorderDxfId="1516" headerRowCellStyle="Currency">
  <autoFilter ref="A908:L912"/>
  <tableColumns count="12">
    <tableColumn id="1" name="Fiscal_x000a_Year" totalsRowLabel="1993-94 Total" dataDxfId="1515" totalsRowDxfId="1514"/>
    <tableColumn id="2" name="Program_x000a_Name" totalsRowLabel="N/A" dataDxfId="1513" totalsRowDxfId="1512"/>
    <tableColumn id="3" name="Legal_x000a_Reference_x000a_(Ch./Year)" totalsRowLabel="N/A" dataDxfId="1511" totalsRowDxfId="1510"/>
    <tableColumn id="4" name="Program Number" totalsRowLabel="N/A" dataDxfId="1509" totalsRowDxfId="1508"/>
    <tableColumn id="5" name="Program_x000a_Costs" totalsRowFunction="sum" dataDxfId="1507" totalsRowDxfId="1506" dataCellStyle="Currency"/>
    <tableColumn id="6" name="Less: Net Payments and Offsets 2" totalsRowFunction="sum" dataDxfId="1505" totalsRowDxfId="1504" dataCellStyle="Currency"/>
    <tableColumn id="7" name="Comment1" totalsRowLabel="N/A" dataDxfId="1503" totalsRowDxfId="1502"/>
    <tableColumn id="8" name="Accounts Payable_x000a_Balance" totalsRowFunction="sum" dataDxfId="1501" totalsRowDxfId="1500"/>
    <tableColumn id="9" name="Established_x000a_Accounts Receivable" totalsRowFunction="sum" dataDxfId="1499" totalsRowDxfId="1498"/>
    <tableColumn id="10" name="Less: Recovered Amount" totalsRowFunction="sum" dataDxfId="1497" totalsRowDxfId="1496"/>
    <tableColumn id="11" name="Accounts Receivable_x000a_Balance" totalsRowFunction="sum" dataDxfId="1495" totalsRowDxfId="1494"/>
    <tableColumn id="12" name="Net_x000a_Balance" totalsRowFunction="sum" dataDxfId="1493" totalsRowDxfId="14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1.xml><?xml version="1.0" encoding="utf-8"?>
<table xmlns="http://schemas.openxmlformats.org/spreadsheetml/2006/main" id="66" name="school199293" displayName="school199293" ref="A915:L919" totalsRowCount="1" headerRowDxfId="1491" dataDxfId="1489" totalsRowDxfId="1487" headerRowBorderDxfId="1490" tableBorderDxfId="1488" totalsRowBorderDxfId="1486" headerRowCellStyle="Currency">
  <autoFilter ref="A915:L918"/>
  <tableColumns count="12">
    <tableColumn id="1" name="Fiscal_x000a_Year" totalsRowLabel="1992-93 Total" dataDxfId="1485" totalsRowDxfId="1484"/>
    <tableColumn id="2" name="Program_x000a_Name" totalsRowLabel="N/A" dataDxfId="1483" totalsRowDxfId="1482"/>
    <tableColumn id="3" name="Legal_x000a_Reference_x000a_(Ch./Year)" totalsRowLabel="N/A" dataDxfId="1481" totalsRowDxfId="1480"/>
    <tableColumn id="4" name="Program Number" totalsRowLabel="N/A" dataDxfId="1479" totalsRowDxfId="1478"/>
    <tableColumn id="5" name="Program_x000a_Costs" totalsRowFunction="sum" dataDxfId="1477" totalsRowDxfId="1476" dataCellStyle="Currency"/>
    <tableColumn id="6" name="Less: Net Payments and Offsets2" totalsRowFunction="sum" dataDxfId="1475" totalsRowDxfId="1474" dataCellStyle="Currency"/>
    <tableColumn id="7" name="Comment1" totalsRowLabel="N/A" dataDxfId="1473" totalsRowDxfId="1472"/>
    <tableColumn id="8" name="Accounts Payable_x000a_Balance" totalsRowFunction="sum" dataDxfId="1471" totalsRowDxfId="1470"/>
    <tableColumn id="9" name="Established_x000a_Accounts Receivable" totalsRowFunction="sum" dataDxfId="1469" totalsRowDxfId="1468"/>
    <tableColumn id="10" name="Less: Recovered Amount" totalsRowFunction="sum" dataDxfId="1467" totalsRowDxfId="1466"/>
    <tableColumn id="11" name="Accounts Receivable_x000a_Balance" totalsRowFunction="sum" dataDxfId="1465" totalsRowDxfId="1464"/>
    <tableColumn id="12" name="Net_x000a_Balance" totalsRowFunction="sum" dataDxfId="1463" totalsRowDxfId="146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2.xml><?xml version="1.0" encoding="utf-8"?>
<table xmlns="http://schemas.openxmlformats.org/spreadsheetml/2006/main" id="67" name="school199192" displayName="school199192" ref="A921:L924" totalsRowCount="1" headerRowDxfId="1461" dataDxfId="1459" totalsRowDxfId="1457" headerRowBorderDxfId="1460" tableBorderDxfId="1458" totalsRowBorderDxfId="1456" headerRowCellStyle="Currency">
  <autoFilter ref="A921:L923"/>
  <tableColumns count="12">
    <tableColumn id="1" name="Fiscal_x000a_Year" totalsRowLabel="1991-92 Total" dataDxfId="1455" totalsRowDxfId="1454"/>
    <tableColumn id="2" name="Program_x000a_Name" totalsRowLabel="N/A" dataDxfId="1453" totalsRowDxfId="1452"/>
    <tableColumn id="3" name="Legal_x000a_Reference_x000a_(Ch./Year)" totalsRowLabel="N/A" dataDxfId="1451" totalsRowDxfId="1450"/>
    <tableColumn id="4" name="Program Number" totalsRowLabel="N/A" dataDxfId="1449" totalsRowDxfId="1448"/>
    <tableColumn id="5" name="Program_x000a_Costs" totalsRowFunction="sum" dataDxfId="1447" totalsRowDxfId="1446" dataCellStyle="Currency"/>
    <tableColumn id="6" name="Less: Net Payments and Offsets2" totalsRowFunction="sum" dataDxfId="1445" totalsRowDxfId="1444" dataCellStyle="Currency"/>
    <tableColumn id="7" name="Comment1" totalsRowLabel="N/A" dataDxfId="1443" totalsRowDxfId="1442"/>
    <tableColumn id="8" name="Accounts Payable_x000a_Balance" totalsRowFunction="sum" dataDxfId="1441" totalsRowDxfId="1440"/>
    <tableColumn id="9" name="Established_x000a_Accounts Receivable" totalsRowFunction="sum" dataDxfId="1439" totalsRowDxfId="1438"/>
    <tableColumn id="10" name="Less: Recovered Amount" totalsRowFunction="sum" dataDxfId="1437" totalsRowDxfId="1436"/>
    <tableColumn id="11" name="Accounts Receivable_x000a_Balance" totalsRowFunction="sum" dataDxfId="1435" totalsRowDxfId="1434"/>
    <tableColumn id="12" name="Net_x000a_Balance" totalsRowFunction="sum" dataDxfId="1433" totalsRowDxfId="14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3.xml><?xml version="1.0" encoding="utf-8"?>
<table xmlns="http://schemas.openxmlformats.org/spreadsheetml/2006/main" id="68" name="school199091" displayName="school199091" ref="A926:L929" totalsRowCount="1" headerRowDxfId="1431" dataDxfId="1429" totalsRowDxfId="1427" headerRowBorderDxfId="1430" tableBorderDxfId="1428" totalsRowBorderDxfId="1426" headerRowCellStyle="Currency">
  <autoFilter ref="A926:L928"/>
  <tableColumns count="12">
    <tableColumn id="1" name="Fiscal_x000a_Year" totalsRowLabel="1990-91 Total" dataDxfId="1425" totalsRowDxfId="1424"/>
    <tableColumn id="2" name="Program_x000a_Name" totalsRowLabel="N/A" dataDxfId="1423" totalsRowDxfId="1422"/>
    <tableColumn id="3" name="Legal_x000a_Reference_x000a_(Ch./Year)" totalsRowLabel="N/A" dataDxfId="1421" totalsRowDxfId="1420"/>
    <tableColumn id="4" name="Program Number" totalsRowLabel="N/A" dataDxfId="1419" totalsRowDxfId="1418"/>
    <tableColumn id="5" name="Program_x000a_Costs" totalsRowFunction="sum" dataDxfId="1417" totalsRowDxfId="1416" dataCellStyle="Currency"/>
    <tableColumn id="6" name="Less: Net Payments and Offsets2" totalsRowFunction="sum" dataDxfId="1415" totalsRowDxfId="1414" dataCellStyle="Currency"/>
    <tableColumn id="7" name="Comment1" totalsRowLabel="N/A" dataDxfId="1413" totalsRowDxfId="1412"/>
    <tableColumn id="8" name="Accounts Payable_x000a_Balance" totalsRowFunction="sum" dataDxfId="1411" totalsRowDxfId="1410"/>
    <tableColumn id="9" name="Established_x000a_Accounts Receivable" totalsRowFunction="sum" dataDxfId="1409" totalsRowDxfId="1408"/>
    <tableColumn id="10" name="Less: Recovered Amount" totalsRowFunction="sum" dataDxfId="1407" totalsRowDxfId="1406"/>
    <tableColumn id="11" name="Accounts Receivable_x000a_Balance" totalsRowFunction="sum" dataDxfId="1405" totalsRowDxfId="1404"/>
    <tableColumn id="12" name="Net_x000a_Balance" totalsRowFunction="sum" dataDxfId="1403" totalsRowDxfId="140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4.xml><?xml version="1.0" encoding="utf-8"?>
<table xmlns="http://schemas.openxmlformats.org/spreadsheetml/2006/main" id="69" name="school198990" displayName="school198990" ref="A931:L934" totalsRowCount="1" headerRowDxfId="1401" dataDxfId="1399" totalsRowDxfId="1397" headerRowBorderDxfId="1400" tableBorderDxfId="1398" totalsRowBorderDxfId="1396" headerRowCellStyle="Currency">
  <autoFilter ref="A931:L933"/>
  <tableColumns count="12">
    <tableColumn id="1" name="Fiscal_x000a_Year" totalsRowLabel="1989-90 Total" dataDxfId="1395" totalsRowDxfId="1394"/>
    <tableColumn id="2" name="Program_x000a_Name" totalsRowLabel="N/A" dataDxfId="1393" totalsRowDxfId="1392"/>
    <tableColumn id="3" name="Legal_x000a_Reference_x000a_(Ch./Year)" totalsRowLabel="N/A" dataDxfId="1391" totalsRowDxfId="1390"/>
    <tableColumn id="4" name="Program Number" totalsRowLabel="N/A" dataDxfId="1389" totalsRowDxfId="1388"/>
    <tableColumn id="5" name="Program_x000a_Costs" totalsRowFunction="sum" dataDxfId="1387" totalsRowDxfId="1386" dataCellStyle="Currency"/>
    <tableColumn id="6" name="Less: Net Payments and Offsets 2" totalsRowFunction="sum" dataDxfId="1385" totalsRowDxfId="1384" dataCellStyle="Currency"/>
    <tableColumn id="7" name="Comment1" totalsRowLabel="N/A" dataDxfId="1383" totalsRowDxfId="1382"/>
    <tableColumn id="8" name="Accounts Payable_x000a_Balance" totalsRowFunction="sum" dataDxfId="1381" totalsRowDxfId="1380"/>
    <tableColumn id="9" name="Established_x000a_Accounts Receivable" totalsRowFunction="sum" dataDxfId="1379" totalsRowDxfId="1378"/>
    <tableColumn id="10" name="Less: Recovered Amount" totalsRowFunction="sum" dataDxfId="1377" totalsRowDxfId="1376"/>
    <tableColumn id="11" name="Accounts Receivable_x000a_Balance" totalsRowFunction="sum" dataDxfId="1375" totalsRowDxfId="1374"/>
    <tableColumn id="12" name="Net_x000a_Balance" totalsRowFunction="sum" dataDxfId="1373" totalsRowDxfId="137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5.xml><?xml version="1.0" encoding="utf-8"?>
<table xmlns="http://schemas.openxmlformats.org/spreadsheetml/2006/main" id="70" name="school198889" displayName="school198889" ref="A936:L938" totalsRowCount="1" headerRowDxfId="1371" dataDxfId="1369" totalsRowDxfId="1367" headerRowBorderDxfId="1370" tableBorderDxfId="1368" totalsRowBorderDxfId="1366" headerRowCellStyle="Currency">
  <autoFilter ref="A936:L937"/>
  <tableColumns count="12">
    <tableColumn id="1" name="Fiscal_x000a_Year" totalsRowLabel="1988-89 Total" dataDxfId="1365" totalsRowDxfId="1364"/>
    <tableColumn id="2" name="Program_x000a_Name" totalsRowLabel="N/A" dataDxfId="1363" totalsRowDxfId="1362"/>
    <tableColumn id="3" name="Legal_x000a_Reference_x000a_(Ch./Year)" totalsRowLabel="N/A" dataDxfId="1361" totalsRowDxfId="1360"/>
    <tableColumn id="4" name="Program Number" totalsRowLabel="N/A" dataDxfId="1359" totalsRowDxfId="1358"/>
    <tableColumn id="5" name="Program_x000a_Costs" totalsRowFunction="sum" dataDxfId="1357" totalsRowDxfId="1356" dataCellStyle="Currency"/>
    <tableColumn id="6" name="Less: Net Payments and Offsets2" totalsRowFunction="sum" dataDxfId="1355" totalsRowDxfId="1354" dataCellStyle="Currency"/>
    <tableColumn id="7" name="Comment1" totalsRowLabel="N/A" dataDxfId="1353" totalsRowDxfId="1352"/>
    <tableColumn id="8" name="Accounts Payable_x000a_Balance" totalsRowFunction="sum" dataDxfId="1351" totalsRowDxfId="1350"/>
    <tableColumn id="9" name="Established_x000a_Accounts Receivable" totalsRowFunction="sum" dataDxfId="1349" totalsRowDxfId="1348"/>
    <tableColumn id="10" name="Less: Recovered Amount" totalsRowFunction="sum" dataDxfId="1347" totalsRowDxfId="1346"/>
    <tableColumn id="11" name="Accounts Receivable_x000a_Balance" totalsRowFunction="sum" dataDxfId="1345" totalsRowDxfId="1344"/>
    <tableColumn id="12" name="Net_x000a_Balance" totalsRowFunction="sum" dataDxfId="1343" totalsRowDxfId="134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6.xml><?xml version="1.0" encoding="utf-8"?>
<table xmlns="http://schemas.openxmlformats.org/spreadsheetml/2006/main" id="71" name="school198788" displayName="school198788" ref="A940:L942" totalsRowCount="1" headerRowDxfId="1341" dataDxfId="1339" totalsRowDxfId="1337" headerRowBorderDxfId="1340" tableBorderDxfId="1338" totalsRowBorderDxfId="1336" headerRowCellStyle="Currency">
  <autoFilter ref="A940:L941"/>
  <tableColumns count="12">
    <tableColumn id="1" name="Fiscal_x000a_Year" totalsRowLabel="1987-88 Total" dataDxfId="1335" totalsRowDxfId="1334"/>
    <tableColumn id="2" name="Program_x000a_Name" totalsRowLabel="N/A" dataDxfId="1333" totalsRowDxfId="1332"/>
    <tableColumn id="3" name="Legal_x000a_Reference_x000a_(Ch./Year)" totalsRowLabel="N/A" dataDxfId="1331" totalsRowDxfId="1330"/>
    <tableColumn id="4" name="Program Number" totalsRowLabel="N/A" dataDxfId="1329" totalsRowDxfId="1328"/>
    <tableColumn id="5" name="Program_x000a_Costs" totalsRowFunction="sum" dataDxfId="1327" totalsRowDxfId="1326"/>
    <tableColumn id="6" name="Less: Net Payments and Offsets2" totalsRowFunction="sum" dataDxfId="1325" totalsRowDxfId="1324"/>
    <tableColumn id="7" name="Comment1" totalsRowLabel="N/A" dataDxfId="1323" totalsRowDxfId="1322"/>
    <tableColumn id="8" name="Accounts Payable_x000a_Balance" totalsRowFunction="sum" dataDxfId="1321" totalsRowDxfId="1320"/>
    <tableColumn id="9" name="Established_x000a_Accounts Receivable" totalsRowFunction="sum" dataDxfId="1319" totalsRowDxfId="1318"/>
    <tableColumn id="10" name="Less: Recovered Amount" totalsRowFunction="sum" dataDxfId="1317" totalsRowDxfId="1316"/>
    <tableColumn id="11" name="Accounts Receivable_x000a_Balance" totalsRowFunction="sum" dataDxfId="1315" totalsRowDxfId="1314"/>
    <tableColumn id="12" name="Net_x000a_Balance" totalsRowFunction="sum" dataDxfId="1313" totalsRowDxfId="13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7.xml><?xml version="1.0" encoding="utf-8"?>
<table xmlns="http://schemas.openxmlformats.org/spreadsheetml/2006/main" id="72" name="school198687" displayName="school198687" ref="A944:L946" totalsRowCount="1" headerRowDxfId="1311" dataDxfId="1309" totalsRowDxfId="1307" headerRowBorderDxfId="1310" tableBorderDxfId="1308" totalsRowBorderDxfId="1306" headerRowCellStyle="Currency">
  <autoFilter ref="A944:L945"/>
  <tableColumns count="12">
    <tableColumn id="1" name="Fiscal_x000a_Year" totalsRowLabel="1986-87 Total" dataDxfId="1305" totalsRowDxfId="1304"/>
    <tableColumn id="2" name="Program_x000a_Name" totalsRowLabel="N/A" dataDxfId="1303" totalsRowDxfId="1302"/>
    <tableColumn id="3" name="Legal_x000a_Reference_x000a_(Ch./Year)" totalsRowLabel="N/A" dataDxfId="1301" totalsRowDxfId="1300"/>
    <tableColumn id="4" name="Program Number" totalsRowLabel="N/A" dataDxfId="1299" totalsRowDxfId="1298"/>
    <tableColumn id="5" name="Program_x000a_Costs" totalsRowFunction="sum" dataDxfId="1297" totalsRowDxfId="1296"/>
    <tableColumn id="6" name="Less: Net Payments and Offsets2" totalsRowFunction="sum" dataDxfId="1295" totalsRowDxfId="1294"/>
    <tableColumn id="7" name="Comment1" totalsRowLabel="N/A" dataDxfId="1293" totalsRowDxfId="1292"/>
    <tableColumn id="8" name="Accounts Payable_x000a_Balance" totalsRowFunction="sum" dataDxfId="1291" totalsRowDxfId="1290"/>
    <tableColumn id="9" name="Established_x000a_Accounts Receivable" totalsRowFunction="sum" dataDxfId="1289" totalsRowDxfId="1288"/>
    <tableColumn id="10" name="Less: Recovered Amount" totalsRowFunction="sum" dataDxfId="1287" totalsRowDxfId="1286"/>
    <tableColumn id="11" name="Accounts Receivable_x000a_Balance" totalsRowFunction="sum" dataDxfId="1285" totalsRowDxfId="1284"/>
    <tableColumn id="12" name="Net_x000a_Balance" totalsRowFunction="sum" dataDxfId="1283" totalsRowDxfId="128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8.xml><?xml version="1.0" encoding="utf-8"?>
<table xmlns="http://schemas.openxmlformats.org/spreadsheetml/2006/main" id="73" name="school198586" displayName="school198586" ref="A948:L950" totalsRowCount="1" headerRowDxfId="1281" dataDxfId="1279" totalsRowDxfId="1277" headerRowBorderDxfId="1280" tableBorderDxfId="1278" totalsRowBorderDxfId="1276" headerRowCellStyle="Currency">
  <autoFilter ref="A948:L949"/>
  <tableColumns count="12">
    <tableColumn id="1" name="Fiscal_x000a_Year" totalsRowLabel="1985-86 Total" dataDxfId="1275" totalsRowDxfId="1274"/>
    <tableColumn id="2" name="Program_x000a_Name" totalsRowLabel="N/A" dataDxfId="1273" totalsRowDxfId="1272"/>
    <tableColumn id="3" name="Legal_x000a_Reference_x000a_(Ch./Year)" totalsRowLabel="N/A" dataDxfId="1271" totalsRowDxfId="1270"/>
    <tableColumn id="4" name="Program Number" totalsRowLabel="N/A" dataDxfId="1269" totalsRowDxfId="1268"/>
    <tableColumn id="5" name="Program_x000a_Costs" totalsRowFunction="sum" dataDxfId="1267" totalsRowDxfId="1266"/>
    <tableColumn id="6" name="Less: Net Payments and Offsets2" totalsRowFunction="sum" dataDxfId="1265" totalsRowDxfId="1264"/>
    <tableColumn id="7" name="Comment1" totalsRowLabel="N/A" dataDxfId="1263" totalsRowDxfId="1262"/>
    <tableColumn id="8" name="Accounts Payable_x000a_Balance" totalsRowFunction="sum" dataDxfId="1261" totalsRowDxfId="1260"/>
    <tableColumn id="9" name="Established_x000a_Accounts Receivable" totalsRowFunction="sum" dataDxfId="1259" totalsRowDxfId="1258"/>
    <tableColumn id="10" name="Less: Recovered Amount" totalsRowFunction="sum" dataDxfId="1257" totalsRowDxfId="1256"/>
    <tableColumn id="11" name="Accounts Receivable_x000a_Balance" totalsRowFunction="sum" dataDxfId="1255" totalsRowDxfId="1254"/>
    <tableColumn id="12" name="Net_x000a_Balance" totalsRowFunction="sum" dataDxfId="1253" totalsRowDxfId="12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89.xml><?xml version="1.0" encoding="utf-8"?>
<table xmlns="http://schemas.openxmlformats.org/spreadsheetml/2006/main" id="74" name="schoolgrandtotal" displayName="schoolgrandtotal" ref="A952:L990" totalsRowCount="1" headerRowDxfId="1251" dataDxfId="1249" totalsRowDxfId="1247" headerRowBorderDxfId="1250" tableBorderDxfId="1248" totalsRowBorderDxfId="1246" headerRowCellStyle="Currency">
  <autoFilter ref="A952:L989"/>
  <tableColumns count="12">
    <tableColumn id="1" name="Fiscal_x000a_Year" totalsRowLabel="Total School Districts" dataDxfId="1245" totalsRowDxfId="1244"/>
    <tableColumn id="2" name="Program_x000a_Name" totalsRowLabel="N/A" dataDxfId="1243" totalsRowDxfId="1242"/>
    <tableColumn id="3" name="Legal_x000a_Reference_x000a_(Ch./Year)" totalsRowLabel="N/A" dataDxfId="1241" totalsRowDxfId="1240"/>
    <tableColumn id="4" name="Program Number" totalsRowLabel="N/A" dataDxfId="1239" totalsRowDxfId="1238"/>
    <tableColumn id="5" name="Program_x000a_Costs" totalsRowFunction="sum" dataDxfId="1237" totalsRowDxfId="1236"/>
    <tableColumn id="6" name="Less: Net Payments and Offsets2" totalsRowFunction="sum" dataDxfId="1235" totalsRowDxfId="1234"/>
    <tableColumn id="7" name="Comment1" totalsRowLabel="N/A" dataDxfId="1233" totalsRowDxfId="1232"/>
    <tableColumn id="8" name="Accounts Payable_x000a_Balance" totalsRowFunction="sum" dataDxfId="1231" totalsRowDxfId="1230"/>
    <tableColumn id="9" name="Established_x000a_Accounts Receivable" totalsRowFunction="sum" dataDxfId="1229" totalsRowDxfId="1228"/>
    <tableColumn id="10" name="Less: Recovered Amount" totalsRowFunction="sum" dataDxfId="1227" totalsRowDxfId="1226"/>
    <tableColumn id="11" name="Accounts Receivable_x000a_Balance" totalsRowFunction="sum" dataDxfId="1225" totalsRowDxfId="1224"/>
    <tableColumn id="12" name="Net_x000a_Balance" totalsRowFunction="sum" dataDxfId="1223" totalsRowDxfId="122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9.xml><?xml version="1.0" encoding="utf-8"?>
<table xmlns="http://schemas.openxmlformats.org/spreadsheetml/2006/main" id="107" name="localmotor22" displayName="localmotor22" ref="A72:I74" totalsRowCount="1" headerRowDxfId="3526" dataDxfId="3524" totalsRowDxfId="3522" headerRowBorderDxfId="3525" tableBorderDxfId="3523" totalsRowBorderDxfId="3521" dataCellStyle="Currency">
  <autoFilter ref="A72:I73"/>
  <tableColumns count="9">
    <tableColumn id="1" name="Program Category_x000a_and Type of Payment" totalsRowLabel="0044-8885-2023-295-98 Total" dataDxfId="3520" totalsRowDxfId="3519"/>
    <tableColumn id="2" name="Fiscal _x000a_Year" totalsRowLabel="N/A" dataDxfId="3518" totalsRowDxfId="3517"/>
    <tableColumn id="3" name="Appropriation _x000a_Number" totalsRowLabel="N/A" dataDxfId="3516" totalsRowDxfId="3515"/>
    <tableColumn id="4" name="Program _x000a_Name" totalsRowLabel="N/A" dataDxfId="3514" totalsRowDxfId="3513"/>
    <tableColumn id="5" name="Legal_x000a_ Reference _x000a_(Ch./Year)" totalsRowLabel="N/A" dataDxfId="3512" totalsRowDxfId="3511"/>
    <tableColumn id="6" name="Program _x000a_Number" totalsRowLabel="N/A" dataDxfId="3510" totalsRowDxfId="3509"/>
    <tableColumn id="7" name="Program Payments and Offsets" totalsRowFunction="sum" dataDxfId="3508" totalsRowDxfId="3507" dataCellStyle="Currency"/>
    <tableColumn id="8" name="Interest_x000a_Payments and Offsets" totalsRowFunction="sum" dataDxfId="3506" totalsRowDxfId="3505" dataCellStyle="Currency"/>
    <tableColumn id="9" name="Total _x000a_Payments" totalsRowFunction="sum" dataDxfId="3504" totalsRowDxfId="3503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A1: Detail of State-Mandated Program Payments by Fiscal Year. As of August 31, 2023. Local Agencies-Motor Vehicle."/>
    </ext>
  </extLst>
</table>
</file>

<file path=xl/tables/table90.xml><?xml version="1.0" encoding="utf-8"?>
<table xmlns="http://schemas.openxmlformats.org/spreadsheetml/2006/main" id="75" name="school202021127" displayName="school202021127" ref="A31:L55" totalsRowCount="1" headerRowDxfId="1221" dataDxfId="1219" totalsRowDxfId="1218" headerRowBorderDxfId="1220" totalsRowBorderDxfId="1217" headerRowCellStyle="Currency">
  <autoFilter ref="A31:L54"/>
  <tableColumns count="12">
    <tableColumn id="1" name="Fiscal_x000a_Year" totalsRowLabel="2020-21 Total" dataDxfId="1216" totalsRowDxfId="1215"/>
    <tableColumn id="2" name="Program_x000a_Name" totalsRowLabel="N/A" dataDxfId="1214" totalsRowDxfId="1213"/>
    <tableColumn id="3" name="Legal_x000a_Reference_x000a_(Ch./Year)" totalsRowLabel="N/A" dataDxfId="1212" totalsRowDxfId="1211"/>
    <tableColumn id="4" name="Program Number" totalsRowLabel="N/A" dataDxfId="1210" totalsRowDxfId="1209"/>
    <tableColumn id="5" name="Program_x000a_Costs" totalsRowFunction="sum" dataDxfId="1208" totalsRowDxfId="1207" dataCellStyle="Currency"/>
    <tableColumn id="6" name="Less: Net Payments and Offsets2" totalsRowFunction="sum" dataDxfId="1206" totalsRowDxfId="1205" dataCellStyle="Currency"/>
    <tableColumn id="7" name="Comment: This amount includes offsets applied from prior years.  " totalsRowLabel="N/A" dataDxfId="1204" totalsRowDxfId="1203"/>
    <tableColumn id="8" name="Accounts Payable_x000a_Balance" totalsRowFunction="sum" dataDxfId="1202" totalsRowDxfId="1201"/>
    <tableColumn id="9" name="Established_x000a_Accounts Receivable" totalsRowFunction="min" dataDxfId="1200" totalsRowDxfId="1199"/>
    <tableColumn id="10" name="Less: Recovered Amount" totalsRowFunction="sum" dataDxfId="1198" totalsRowDxfId="1197"/>
    <tableColumn id="11" name="Accounts Receivable_x000a_Balance" totalsRowFunction="sum" dataDxfId="1196" totalsRowDxfId="1195"/>
    <tableColumn id="12" name="Net_x000a_Balance" totalsRowFunction="sum" dataDxfId="1194" totalsRowDxfId="1193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School Districts."/>
    </ext>
  </extLst>
</table>
</file>

<file path=xl/tables/table91.xml><?xml version="1.0" encoding="utf-8"?>
<table xmlns="http://schemas.openxmlformats.org/spreadsheetml/2006/main" id="76" name="college201415" displayName="college201415" ref="A2:L6" totalsRowCount="1" headerRowDxfId="1192" dataDxfId="1190" totalsRowDxfId="1188" headerRowBorderDxfId="1191" tableBorderDxfId="1189" totalsRowBorderDxfId="1187" headerRowCellStyle="Currency">
  <autoFilter ref="A2:L5"/>
  <tableColumns count="12">
    <tableColumn id="1" name="Fiscal_x000a_Year" totalsRowLabel="2014-15 Total" dataDxfId="1186" totalsRowDxfId="23"/>
    <tableColumn id="2" name="Program_x000a_Name" totalsRowLabel="N/A" dataDxfId="1185" totalsRowDxfId="22"/>
    <tableColumn id="3" name="Legal_x000a_Reference_x000a_(Ch./Year)" totalsRowLabel="N/A" dataDxfId="1184" totalsRowDxfId="21"/>
    <tableColumn id="4" name="Program _x000a_Number" totalsRowLabel="N/A" dataDxfId="1183" totalsRowDxfId="20"/>
    <tableColumn id="5" name="Program_x000a_Costs" totalsRowFunction="sum" dataDxfId="1182" totalsRowDxfId="19"/>
    <tableColumn id="6" name="Less: Net Payments and Offsets2" totalsRowFunction="sum" dataDxfId="1181" totalsRowDxfId="18"/>
    <tableColumn id="7" name="Comment: This amount includes offsets applied from prior years." totalsRowLabel="N/A" dataDxfId="1180" totalsRowDxfId="17"/>
    <tableColumn id="8" name="Accounts Payable_x000a_Balance" totalsRowFunction="sum" dataDxfId="1179" totalsRowDxfId="16"/>
    <tableColumn id="9" name="Established_x000a_Accounts Receivable" totalsRowFunction="sum" dataDxfId="1178" totalsRowDxfId="15"/>
    <tableColumn id="10" name="Less: Recovered Amount" totalsRowFunction="sum" dataDxfId="1177" totalsRowDxfId="14"/>
    <tableColumn id="11" name="Accounts Receivable_x000a_Balance" totalsRowFunction="sum" dataDxfId="1176" totalsRowDxfId="13"/>
    <tableColumn id="12" name="Net_x000a_Balance" totalsRowFunction="sum" dataDxfId="1175" totalsRowDxfId="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92.xml><?xml version="1.0" encoding="utf-8"?>
<table xmlns="http://schemas.openxmlformats.org/spreadsheetml/2006/main" id="77" name="college201314" displayName="college201314" ref="A8:L12" totalsRowCount="1" headerRowDxfId="1174" dataDxfId="1172" totalsRowDxfId="1170" headerRowBorderDxfId="1173" tableBorderDxfId="1171" totalsRowBorderDxfId="1169" headerRowCellStyle="Currency">
  <autoFilter ref="A8:L11"/>
  <tableColumns count="12">
    <tableColumn id="1" name="Fiscal_x000a_Year" totalsRowLabel="2013-14 Total" dataDxfId="1168" totalsRowDxfId="1167"/>
    <tableColumn id="2" name="Program_x000a_Name" totalsRowLabel="N/A" dataDxfId="1166" totalsRowDxfId="1165"/>
    <tableColumn id="3" name="Legal_x000a_Reference_x000a_(Ch./Year)" totalsRowLabel="N/A" dataDxfId="1164" totalsRowDxfId="1163"/>
    <tableColumn id="4" name="Program _x000a_Number" totalsRowLabel="N/A" dataDxfId="1162" totalsRowDxfId="1161"/>
    <tableColumn id="5" name="Program_x000a_Costs" totalsRowFunction="sum" dataDxfId="1160" totalsRowDxfId="1159"/>
    <tableColumn id="6" name="Less: Net Payments and Offsets2" totalsRowFunction="sum" dataDxfId="1158" totalsRowDxfId="1157"/>
    <tableColumn id="7" name="Comment1" totalsRowLabel="N/A" dataDxfId="1156" totalsRowDxfId="1155"/>
    <tableColumn id="8" name="Accounts Payable_x000a_Balance" totalsRowFunction="sum" dataDxfId="1154" totalsRowDxfId="1153"/>
    <tableColumn id="9" name="Established_x000a_Accounts Receivable" totalsRowFunction="sum" dataDxfId="1152" totalsRowDxfId="1151"/>
    <tableColumn id="10" name="Less: Recovered Amount" totalsRowFunction="sum" dataDxfId="1150" totalsRowDxfId="1149"/>
    <tableColumn id="11" name="Accounts Receivable_x000a_Balance" totalsRowFunction="sum" dataDxfId="1148" totalsRowDxfId="1147"/>
    <tableColumn id="12" name="Net_x000a_Balance" totalsRowFunction="sum" dataDxfId="1146" totalsRowDxfId="114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93.xml><?xml version="1.0" encoding="utf-8"?>
<table xmlns="http://schemas.openxmlformats.org/spreadsheetml/2006/main" id="78" name="college201213" displayName="college201213" ref="A14:L20" totalsRowCount="1" headerRowDxfId="1144" dataDxfId="1142" totalsRowDxfId="1140" headerRowBorderDxfId="1143" tableBorderDxfId="1141" totalsRowBorderDxfId="1139" headerRowCellStyle="Currency">
  <autoFilter ref="A14:L19"/>
  <tableColumns count="12">
    <tableColumn id="1" name="Fiscal_x000a_Year" totalsRowLabel="2012-13 Total" dataDxfId="1138" totalsRowDxfId="1137"/>
    <tableColumn id="2" name="Program_x000a_Name" totalsRowLabel="N/A" dataDxfId="1136" totalsRowDxfId="1135"/>
    <tableColumn id="3" name="Legal_x000a_Reference_x000a_(Ch./Year)" totalsRowLabel="N/A" dataDxfId="1134" totalsRowDxfId="1133"/>
    <tableColumn id="4" name="Program _x000a_Number" totalsRowLabel="N/A" dataDxfId="1132" totalsRowDxfId="1131"/>
    <tableColumn id="5" name="Program_x000a_Costs" totalsRowFunction="sum" dataDxfId="1130" totalsRowDxfId="1129"/>
    <tableColumn id="6" name="Less: Net Payments and Offsets2" totalsRowFunction="sum" dataDxfId="1128" totalsRowDxfId="1127"/>
    <tableColumn id="7" name="Comment1" totalsRowLabel="N/A" dataDxfId="1126" totalsRowDxfId="1125"/>
    <tableColumn id="8" name="Accounts Payable_x000a_Balance" totalsRowFunction="sum" dataDxfId="1124" totalsRowDxfId="1123"/>
    <tableColumn id="9" name="Established_x000a_Accounts Receivable" totalsRowFunction="sum" dataDxfId="1122" totalsRowDxfId="1121"/>
    <tableColumn id="10" name="Less: Recovered Amount" totalsRowFunction="sum" dataDxfId="1120" totalsRowDxfId="1119"/>
    <tableColumn id="11" name="Accounts Receivable_x000a_Balance" totalsRowFunction="sum" dataDxfId="1118" totalsRowDxfId="1117"/>
    <tableColumn id="12" name="Net_x000a_Balance" totalsRowFunction="sum" dataDxfId="1116" totalsRowDxfId="111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94.xml><?xml version="1.0" encoding="utf-8"?>
<table xmlns="http://schemas.openxmlformats.org/spreadsheetml/2006/main" id="79" name="college201112" displayName="college201112" ref="A22:L31" totalsRowCount="1" headerRowDxfId="1114" dataDxfId="1112" totalsRowDxfId="1110" headerRowBorderDxfId="1113" tableBorderDxfId="1111" totalsRowBorderDxfId="1109" headerRowCellStyle="Currency">
  <autoFilter ref="A22:L30"/>
  <tableColumns count="12">
    <tableColumn id="1" name="Fiscal_x000a_Year" totalsRowLabel="2011-12 Total" dataDxfId="1108" totalsRowDxfId="1107"/>
    <tableColumn id="2" name="Program_x000a_Name" totalsRowLabel="N/A" dataDxfId="1106" totalsRowDxfId="1105"/>
    <tableColumn id="3" name="Legal_x000a_Reference_x000a_(Ch./Year)" totalsRowLabel="N/A" dataDxfId="1104" totalsRowDxfId="1103"/>
    <tableColumn id="4" name="Program _x000a_Number" totalsRowLabel="N/A" dataDxfId="1102" totalsRowDxfId="1101"/>
    <tableColumn id="5" name="Program_x000a_Costs" totalsRowFunction="sum" dataDxfId="1100" totalsRowDxfId="1099"/>
    <tableColumn id="6" name="Less: Net Payments and Offsets2" totalsRowFunction="sum" dataDxfId="1098" totalsRowDxfId="1097"/>
    <tableColumn id="7" name="Comment1" totalsRowLabel="N/A" dataDxfId="1096" totalsRowDxfId="1095"/>
    <tableColumn id="8" name="Accounts Payable_x000a_Balance" totalsRowFunction="sum" dataDxfId="1094" totalsRowDxfId="1093"/>
    <tableColumn id="9" name="Established_x000a_Accounts Receivable" totalsRowFunction="sum" dataDxfId="1092" totalsRowDxfId="1091"/>
    <tableColumn id="10" name="Less: Recovered Amount" totalsRowFunction="sum" dataDxfId="1090" totalsRowDxfId="1089"/>
    <tableColumn id="11" name="Accounts Receivable_x000a_Balance" totalsRowFunction="sum" dataDxfId="1088" totalsRowDxfId="1087"/>
    <tableColumn id="12" name="Net_x000a_Balance" totalsRowFunction="sum" dataDxfId="1086" totalsRowDxfId="108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95.xml><?xml version="1.0" encoding="utf-8"?>
<table xmlns="http://schemas.openxmlformats.org/spreadsheetml/2006/main" id="80" name="college201011" displayName="college201011" ref="A33:L40" totalsRowCount="1" headerRowDxfId="1084" dataDxfId="1082" totalsRowDxfId="1080" headerRowBorderDxfId="1083" tableBorderDxfId="1081" totalsRowBorderDxfId="1079" headerRowCellStyle="Currency">
  <autoFilter ref="A33:L39"/>
  <tableColumns count="12">
    <tableColumn id="1" name="Fiscal_x000a_Year" totalsRowLabel="2010-11 Total" dataDxfId="1078" totalsRowDxfId="1077"/>
    <tableColumn id="2" name="Program_x000a_Name" totalsRowLabel="N/A" dataDxfId="1076" totalsRowDxfId="1075"/>
    <tableColumn id="3" name="Legal_x000a_Reference_x000a_(Ch./Year)" totalsRowLabel="N/A" dataDxfId="1074" totalsRowDxfId="1073"/>
    <tableColumn id="4" name="Program _x000a_Number" totalsRowLabel="N/A" dataDxfId="1072" totalsRowDxfId="1071"/>
    <tableColumn id="5" name="Program_x000a_Costs" totalsRowFunction="sum" dataDxfId="1070" totalsRowDxfId="1069"/>
    <tableColumn id="6" name="Less: Net Payments and Offsets2" totalsRowFunction="sum" dataDxfId="1068" totalsRowDxfId="1067"/>
    <tableColumn id="7" name="Comment1" totalsRowLabel="N/A" dataDxfId="1066" totalsRowDxfId="1065"/>
    <tableColumn id="8" name="Accounts Payable_x000a_Balance" totalsRowFunction="sum" dataDxfId="1064" totalsRowDxfId="1063"/>
    <tableColumn id="9" name="Established_x000a_Accounts Receivable" totalsRowFunction="sum" dataDxfId="1062" totalsRowDxfId="1061"/>
    <tableColumn id="10" name="Less: Recovered Amount" totalsRowFunction="sum" dataDxfId="1060" totalsRowDxfId="1059"/>
    <tableColumn id="11" name="Accounts Receivable_x000a_Balance" totalsRowFunction="sum" dataDxfId="1058" totalsRowDxfId="1057"/>
    <tableColumn id="12" name="Net_x000a_Balance" totalsRowFunction="sum" dataDxfId="1056" totalsRowDxfId="105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96.xml><?xml version="1.0" encoding="utf-8"?>
<table xmlns="http://schemas.openxmlformats.org/spreadsheetml/2006/main" id="81" name="college200910" displayName="college200910" ref="A42:L50" totalsRowCount="1" headerRowDxfId="1054" dataDxfId="1052" totalsRowDxfId="1050" headerRowBorderDxfId="1053" tableBorderDxfId="1051" totalsRowBorderDxfId="1049" headerRowCellStyle="Currency">
  <autoFilter ref="A42:L49"/>
  <tableColumns count="12">
    <tableColumn id="1" name="Fiscal_x000a_Year" totalsRowLabel="2009-10 Total" dataDxfId="1048" totalsRowDxfId="1047"/>
    <tableColumn id="2" name="Program_x000a_Name" totalsRowLabel="N/A" dataDxfId="1046" totalsRowDxfId="1045"/>
    <tableColumn id="3" name="Legal_x000a_Reference_x000a_(Ch./Year)" totalsRowLabel="N/A" dataDxfId="1044" totalsRowDxfId="1043"/>
    <tableColumn id="4" name="Program _x000a_Number" totalsRowLabel="N/A" dataDxfId="1042" totalsRowDxfId="1041"/>
    <tableColumn id="5" name="Program_x000a_Costs" totalsRowFunction="sum" dataDxfId="1040" totalsRowDxfId="1039"/>
    <tableColumn id="6" name="Less: Net Payments and Offsets2" totalsRowFunction="sum" dataDxfId="1038" totalsRowDxfId="1037"/>
    <tableColumn id="7" name="Comment1" totalsRowLabel="N/A" dataDxfId="1036" totalsRowDxfId="1035"/>
    <tableColumn id="8" name="Accounts Payable_x000a_Balance" totalsRowFunction="sum" dataDxfId="1034" totalsRowDxfId="1033"/>
    <tableColumn id="9" name="Established_x000a_Accounts Receivable" totalsRowFunction="sum" dataDxfId="1032" totalsRowDxfId="1031"/>
    <tableColumn id="10" name="Less: Recovered Amount" totalsRowFunction="sum" dataDxfId="1030" totalsRowDxfId="1029"/>
    <tableColumn id="11" name="Accounts Receivable_x000a_Balance" totalsRowFunction="sum" dataDxfId="1028" totalsRowDxfId="1027"/>
    <tableColumn id="12" name="Net_x000a_Balance" totalsRowFunction="sum" dataDxfId="1026" totalsRowDxfId="102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97.xml><?xml version="1.0" encoding="utf-8"?>
<table xmlns="http://schemas.openxmlformats.org/spreadsheetml/2006/main" id="82" name="college200809" displayName="college200809" ref="A52:L61" totalsRowCount="1" headerRowDxfId="1024" dataDxfId="1022" totalsRowDxfId="1020" headerRowBorderDxfId="1023" tableBorderDxfId="1021" totalsRowBorderDxfId="1019" headerRowCellStyle="Currency">
  <autoFilter ref="A52:L60"/>
  <tableColumns count="12">
    <tableColumn id="1" name="Fiscal_x000a_Year" totalsRowLabel="2008-09 Total" dataDxfId="1018" totalsRowDxfId="1017"/>
    <tableColumn id="2" name="Program_x000a_Name" totalsRowLabel="N/A" dataDxfId="1016" totalsRowDxfId="1015"/>
    <tableColumn id="3" name="Legal_x000a_Reference_x000a_(Ch./Year)" totalsRowLabel="N/A" dataDxfId="1014" totalsRowDxfId="1013"/>
    <tableColumn id="4" name="Program _x000a_Number" totalsRowLabel="N/A" dataDxfId="1012" totalsRowDxfId="1011"/>
    <tableColumn id="5" name="Program_x000a_Costs" totalsRowFunction="sum" dataDxfId="1010" totalsRowDxfId="1009"/>
    <tableColumn id="6" name="Less: Net Payments and Offsets2" totalsRowFunction="sum" dataDxfId="1008" totalsRowDxfId="1007"/>
    <tableColumn id="7" name="Comment1" totalsRowLabel="N/A" dataDxfId="1006" totalsRowDxfId="1005"/>
    <tableColumn id="8" name="Accounts Payable_x000a_Balance" totalsRowFunction="sum" dataDxfId="1004" totalsRowDxfId="1003"/>
    <tableColumn id="9" name="Established_x000a_Accounts Receivable" totalsRowFunction="sum" dataDxfId="1002" totalsRowDxfId="1001"/>
    <tableColumn id="10" name="Less: Recovered Amount" totalsRowFunction="sum" dataDxfId="1000" totalsRowDxfId="999"/>
    <tableColumn id="11" name="Accounts Receivable_x000a_Balance" totalsRowFunction="sum" dataDxfId="998" totalsRowDxfId="997"/>
    <tableColumn id="12" name="Net_x000a_Balance" totalsRowFunction="sum" dataDxfId="996" totalsRowDxfId="99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98.xml><?xml version="1.0" encoding="utf-8"?>
<table xmlns="http://schemas.openxmlformats.org/spreadsheetml/2006/main" id="83" name="college200708" displayName="college200708" ref="A63:L74" totalsRowCount="1" headerRowDxfId="994" dataDxfId="992" totalsRowDxfId="990" headerRowBorderDxfId="993" tableBorderDxfId="991" totalsRowBorderDxfId="989" headerRowCellStyle="Currency">
  <autoFilter ref="A63:L73"/>
  <tableColumns count="12">
    <tableColumn id="1" name="Fiscal_x000a_Year" totalsRowLabel="2007-08 Total" dataDxfId="988" totalsRowDxfId="987"/>
    <tableColumn id="2" name="Program_x000a_Name" totalsRowLabel="N/A" dataDxfId="986" totalsRowDxfId="985"/>
    <tableColumn id="3" name="Legal_x000a_Reference_x000a_(Ch./Year)" totalsRowLabel="N/A" dataDxfId="984" totalsRowDxfId="983"/>
    <tableColumn id="4" name="Program _x000a_Number" totalsRowLabel="N/A" dataDxfId="982" totalsRowDxfId="981"/>
    <tableColumn id="5" name="Program_x000a_Costs" totalsRowFunction="sum" dataDxfId="980" totalsRowDxfId="979"/>
    <tableColumn id="6" name="Less: Net Payments and Offsets2" totalsRowFunction="sum" dataDxfId="978" totalsRowDxfId="977"/>
    <tableColumn id="7" name="Comment1" totalsRowLabel="N/A" dataDxfId="976" totalsRowDxfId="975"/>
    <tableColumn id="8" name="Accounts Payable_x000a_Balance" totalsRowFunction="sum" dataDxfId="974" totalsRowDxfId="973"/>
    <tableColumn id="9" name="Established_x000a_Accounts Receivable" totalsRowFunction="sum" dataDxfId="972" totalsRowDxfId="971"/>
    <tableColumn id="10" name="Less: Recovered Amount" totalsRowFunction="sum" dataDxfId="970" totalsRowDxfId="969"/>
    <tableColumn id="11" name="Accounts Receivable_x000a_Balance" totalsRowFunction="sum" dataDxfId="968" totalsRowDxfId="967"/>
    <tableColumn id="12" name="Net_x000a_Balance" totalsRowFunction="sum" dataDxfId="966" totalsRowDxfId="96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ables/table99.xml><?xml version="1.0" encoding="utf-8"?>
<table xmlns="http://schemas.openxmlformats.org/spreadsheetml/2006/main" id="84" name="college200607" displayName="college200607" ref="A76:L85" totalsRowCount="1" headerRowDxfId="964" dataDxfId="962" totalsRowDxfId="960" headerRowBorderDxfId="963" tableBorderDxfId="961" totalsRowBorderDxfId="959" headerRowCellStyle="Currency">
  <autoFilter ref="A76:L84"/>
  <tableColumns count="12">
    <tableColumn id="1" name="Fiscal_x000a_Year" totalsRowLabel="2006-07 Total" dataDxfId="958" totalsRowDxfId="957"/>
    <tableColumn id="2" name="Program_x000a_Name" totalsRowLabel="N/A" dataDxfId="956" totalsRowDxfId="955"/>
    <tableColumn id="3" name="Legal_x000a_Reference_x000a_(Ch./Year)" totalsRowLabel="N/A" dataDxfId="954" totalsRowDxfId="953"/>
    <tableColumn id="4" name="Program _x000a_Number" totalsRowLabel="N/A" dataDxfId="952" totalsRowDxfId="951"/>
    <tableColumn id="5" name="Program_x000a_Costs" totalsRowFunction="sum" dataDxfId="950" totalsRowDxfId="949"/>
    <tableColumn id="6" name="Less: Net Payments and Offsets2" totalsRowFunction="sum" dataDxfId="948" totalsRowDxfId="947"/>
    <tableColumn id="7" name="Comment1" totalsRowLabel="N/A" dataDxfId="946" totalsRowDxfId="945"/>
    <tableColumn id="8" name="Accounts Payable_x000a_Balance" totalsRowFunction="sum" dataDxfId="944" totalsRowDxfId="943"/>
    <tableColumn id="9" name="Established_x000a_Accounts Receivable" totalsRowFunction="sum" dataDxfId="942" totalsRowDxfId="941"/>
    <tableColumn id="10" name="Less: Recovered Amount" totalsRowFunction="sum" dataDxfId="940" totalsRowDxfId="939"/>
    <tableColumn id="11" name="Accounts Receivable_x000a_Balance" totalsRowFunction="sum" dataDxfId="938" totalsRowDxfId="937"/>
    <tableColumn id="12" name="Net_x000a_Balance" totalsRowFunction="sum" dataDxfId="936" totalsRowDxfId="93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3 AB 3000 Report" altTextSummary="Schedule B1: Detail of Funded State-Mandated Programs by Fiscal Year. As of August 31, 2023. Community College Districts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4.xml"/><Relationship Id="rId13" Type="http://schemas.openxmlformats.org/officeDocument/2006/relationships/table" Target="../tables/table119.xml"/><Relationship Id="rId18" Type="http://schemas.openxmlformats.org/officeDocument/2006/relationships/table" Target="../tables/table124.xml"/><Relationship Id="rId3" Type="http://schemas.openxmlformats.org/officeDocument/2006/relationships/table" Target="../tables/table109.xml"/><Relationship Id="rId7" Type="http://schemas.openxmlformats.org/officeDocument/2006/relationships/table" Target="../tables/table113.xml"/><Relationship Id="rId12" Type="http://schemas.openxmlformats.org/officeDocument/2006/relationships/table" Target="../tables/table118.xml"/><Relationship Id="rId17" Type="http://schemas.openxmlformats.org/officeDocument/2006/relationships/table" Target="../tables/table123.xml"/><Relationship Id="rId2" Type="http://schemas.openxmlformats.org/officeDocument/2006/relationships/vmlDrawing" Target="../drawings/vmlDrawing7.vml"/><Relationship Id="rId16" Type="http://schemas.openxmlformats.org/officeDocument/2006/relationships/table" Target="../tables/table122.xml"/><Relationship Id="rId20" Type="http://schemas.openxmlformats.org/officeDocument/2006/relationships/comments" Target="../comments7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12.xml"/><Relationship Id="rId11" Type="http://schemas.openxmlformats.org/officeDocument/2006/relationships/table" Target="../tables/table117.xml"/><Relationship Id="rId5" Type="http://schemas.openxmlformats.org/officeDocument/2006/relationships/table" Target="../tables/table111.xml"/><Relationship Id="rId15" Type="http://schemas.openxmlformats.org/officeDocument/2006/relationships/table" Target="../tables/table121.xml"/><Relationship Id="rId10" Type="http://schemas.openxmlformats.org/officeDocument/2006/relationships/table" Target="../tables/table116.xml"/><Relationship Id="rId19" Type="http://schemas.openxmlformats.org/officeDocument/2006/relationships/table" Target="../tables/table125.xml"/><Relationship Id="rId4" Type="http://schemas.openxmlformats.org/officeDocument/2006/relationships/table" Target="../tables/table110.xml"/><Relationship Id="rId9" Type="http://schemas.openxmlformats.org/officeDocument/2006/relationships/table" Target="../tables/table115.xml"/><Relationship Id="rId14" Type="http://schemas.openxmlformats.org/officeDocument/2006/relationships/table" Target="../tables/table12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1.xml"/><Relationship Id="rId3" Type="http://schemas.openxmlformats.org/officeDocument/2006/relationships/table" Target="../tables/table16.xml"/><Relationship Id="rId7" Type="http://schemas.openxmlformats.org/officeDocument/2006/relationships/table" Target="../tables/table20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19.xml"/><Relationship Id="rId5" Type="http://schemas.openxmlformats.org/officeDocument/2006/relationships/table" Target="../tables/table18.xml"/><Relationship Id="rId4" Type="http://schemas.openxmlformats.org/officeDocument/2006/relationships/table" Target="../tables/table17.xml"/><Relationship Id="rId9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7.xml"/><Relationship Id="rId13" Type="http://schemas.openxmlformats.org/officeDocument/2006/relationships/table" Target="../tables/table32.xml"/><Relationship Id="rId18" Type="http://schemas.openxmlformats.org/officeDocument/2006/relationships/table" Target="../tables/table37.xml"/><Relationship Id="rId26" Type="http://schemas.openxmlformats.org/officeDocument/2006/relationships/table" Target="../tables/table45.xml"/><Relationship Id="rId3" Type="http://schemas.openxmlformats.org/officeDocument/2006/relationships/table" Target="../tables/table22.xml"/><Relationship Id="rId21" Type="http://schemas.openxmlformats.org/officeDocument/2006/relationships/table" Target="../tables/table40.xml"/><Relationship Id="rId34" Type="http://schemas.openxmlformats.org/officeDocument/2006/relationships/comments" Target="../comments4.xml"/><Relationship Id="rId7" Type="http://schemas.openxmlformats.org/officeDocument/2006/relationships/table" Target="../tables/table26.xml"/><Relationship Id="rId12" Type="http://schemas.openxmlformats.org/officeDocument/2006/relationships/table" Target="../tables/table31.xml"/><Relationship Id="rId17" Type="http://schemas.openxmlformats.org/officeDocument/2006/relationships/table" Target="../tables/table36.xml"/><Relationship Id="rId25" Type="http://schemas.openxmlformats.org/officeDocument/2006/relationships/table" Target="../tables/table44.xml"/><Relationship Id="rId33" Type="http://schemas.openxmlformats.org/officeDocument/2006/relationships/table" Target="../tables/table52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35.xml"/><Relationship Id="rId20" Type="http://schemas.openxmlformats.org/officeDocument/2006/relationships/table" Target="../tables/table39.xml"/><Relationship Id="rId29" Type="http://schemas.openxmlformats.org/officeDocument/2006/relationships/table" Target="../tables/table4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5.xml"/><Relationship Id="rId11" Type="http://schemas.openxmlformats.org/officeDocument/2006/relationships/table" Target="../tables/table30.xml"/><Relationship Id="rId24" Type="http://schemas.openxmlformats.org/officeDocument/2006/relationships/table" Target="../tables/table43.xml"/><Relationship Id="rId32" Type="http://schemas.openxmlformats.org/officeDocument/2006/relationships/table" Target="../tables/table51.xml"/><Relationship Id="rId5" Type="http://schemas.openxmlformats.org/officeDocument/2006/relationships/table" Target="../tables/table24.xml"/><Relationship Id="rId15" Type="http://schemas.openxmlformats.org/officeDocument/2006/relationships/table" Target="../tables/table34.xml"/><Relationship Id="rId23" Type="http://schemas.openxmlformats.org/officeDocument/2006/relationships/table" Target="../tables/table42.xml"/><Relationship Id="rId28" Type="http://schemas.openxmlformats.org/officeDocument/2006/relationships/table" Target="../tables/table47.xml"/><Relationship Id="rId10" Type="http://schemas.openxmlformats.org/officeDocument/2006/relationships/table" Target="../tables/table29.xml"/><Relationship Id="rId19" Type="http://schemas.openxmlformats.org/officeDocument/2006/relationships/table" Target="../tables/table38.xml"/><Relationship Id="rId31" Type="http://schemas.openxmlformats.org/officeDocument/2006/relationships/table" Target="../tables/table50.xml"/><Relationship Id="rId4" Type="http://schemas.openxmlformats.org/officeDocument/2006/relationships/table" Target="../tables/table23.xml"/><Relationship Id="rId9" Type="http://schemas.openxmlformats.org/officeDocument/2006/relationships/table" Target="../tables/table28.xml"/><Relationship Id="rId14" Type="http://schemas.openxmlformats.org/officeDocument/2006/relationships/table" Target="../tables/table33.xml"/><Relationship Id="rId22" Type="http://schemas.openxmlformats.org/officeDocument/2006/relationships/table" Target="../tables/table41.xml"/><Relationship Id="rId27" Type="http://schemas.openxmlformats.org/officeDocument/2006/relationships/table" Target="../tables/table46.xml"/><Relationship Id="rId30" Type="http://schemas.openxmlformats.org/officeDocument/2006/relationships/table" Target="../tables/table4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8.xml"/><Relationship Id="rId13" Type="http://schemas.openxmlformats.org/officeDocument/2006/relationships/table" Target="../tables/table63.xml"/><Relationship Id="rId18" Type="http://schemas.openxmlformats.org/officeDocument/2006/relationships/table" Target="../tables/table68.xml"/><Relationship Id="rId26" Type="http://schemas.openxmlformats.org/officeDocument/2006/relationships/table" Target="../tables/table76.xml"/><Relationship Id="rId39" Type="http://schemas.openxmlformats.org/officeDocument/2006/relationships/table" Target="../tables/table89.xml"/><Relationship Id="rId3" Type="http://schemas.openxmlformats.org/officeDocument/2006/relationships/table" Target="../tables/table53.xml"/><Relationship Id="rId21" Type="http://schemas.openxmlformats.org/officeDocument/2006/relationships/table" Target="../tables/table71.xml"/><Relationship Id="rId34" Type="http://schemas.openxmlformats.org/officeDocument/2006/relationships/table" Target="../tables/table84.xml"/><Relationship Id="rId7" Type="http://schemas.openxmlformats.org/officeDocument/2006/relationships/table" Target="../tables/table57.xml"/><Relationship Id="rId12" Type="http://schemas.openxmlformats.org/officeDocument/2006/relationships/table" Target="../tables/table62.xml"/><Relationship Id="rId17" Type="http://schemas.openxmlformats.org/officeDocument/2006/relationships/table" Target="../tables/table67.xml"/><Relationship Id="rId25" Type="http://schemas.openxmlformats.org/officeDocument/2006/relationships/table" Target="../tables/table75.xml"/><Relationship Id="rId33" Type="http://schemas.openxmlformats.org/officeDocument/2006/relationships/table" Target="../tables/table83.xml"/><Relationship Id="rId38" Type="http://schemas.openxmlformats.org/officeDocument/2006/relationships/table" Target="../tables/table88.xml"/><Relationship Id="rId2" Type="http://schemas.openxmlformats.org/officeDocument/2006/relationships/vmlDrawing" Target="../drawings/vmlDrawing5.vml"/><Relationship Id="rId16" Type="http://schemas.openxmlformats.org/officeDocument/2006/relationships/table" Target="../tables/table66.xml"/><Relationship Id="rId20" Type="http://schemas.openxmlformats.org/officeDocument/2006/relationships/table" Target="../tables/table70.xml"/><Relationship Id="rId29" Type="http://schemas.openxmlformats.org/officeDocument/2006/relationships/table" Target="../tables/table79.xml"/><Relationship Id="rId41" Type="http://schemas.openxmlformats.org/officeDocument/2006/relationships/comments" Target="../comments5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6.xml"/><Relationship Id="rId11" Type="http://schemas.openxmlformats.org/officeDocument/2006/relationships/table" Target="../tables/table61.xml"/><Relationship Id="rId24" Type="http://schemas.openxmlformats.org/officeDocument/2006/relationships/table" Target="../tables/table74.xml"/><Relationship Id="rId32" Type="http://schemas.openxmlformats.org/officeDocument/2006/relationships/table" Target="../tables/table82.xml"/><Relationship Id="rId37" Type="http://schemas.openxmlformats.org/officeDocument/2006/relationships/table" Target="../tables/table87.xml"/><Relationship Id="rId40" Type="http://schemas.openxmlformats.org/officeDocument/2006/relationships/table" Target="../tables/table90.xml"/><Relationship Id="rId5" Type="http://schemas.openxmlformats.org/officeDocument/2006/relationships/table" Target="../tables/table55.xml"/><Relationship Id="rId15" Type="http://schemas.openxmlformats.org/officeDocument/2006/relationships/table" Target="../tables/table65.xml"/><Relationship Id="rId23" Type="http://schemas.openxmlformats.org/officeDocument/2006/relationships/table" Target="../tables/table73.xml"/><Relationship Id="rId28" Type="http://schemas.openxmlformats.org/officeDocument/2006/relationships/table" Target="../tables/table78.xml"/><Relationship Id="rId36" Type="http://schemas.openxmlformats.org/officeDocument/2006/relationships/table" Target="../tables/table86.xml"/><Relationship Id="rId10" Type="http://schemas.openxmlformats.org/officeDocument/2006/relationships/table" Target="../tables/table60.xml"/><Relationship Id="rId19" Type="http://schemas.openxmlformats.org/officeDocument/2006/relationships/table" Target="../tables/table69.xml"/><Relationship Id="rId31" Type="http://schemas.openxmlformats.org/officeDocument/2006/relationships/table" Target="../tables/table81.xml"/><Relationship Id="rId4" Type="http://schemas.openxmlformats.org/officeDocument/2006/relationships/table" Target="../tables/table54.xml"/><Relationship Id="rId9" Type="http://schemas.openxmlformats.org/officeDocument/2006/relationships/table" Target="../tables/table59.xml"/><Relationship Id="rId14" Type="http://schemas.openxmlformats.org/officeDocument/2006/relationships/table" Target="../tables/table64.xml"/><Relationship Id="rId22" Type="http://schemas.openxmlformats.org/officeDocument/2006/relationships/table" Target="../tables/table72.xml"/><Relationship Id="rId27" Type="http://schemas.openxmlformats.org/officeDocument/2006/relationships/table" Target="../tables/table77.xml"/><Relationship Id="rId30" Type="http://schemas.openxmlformats.org/officeDocument/2006/relationships/table" Target="../tables/table80.xml"/><Relationship Id="rId35" Type="http://schemas.openxmlformats.org/officeDocument/2006/relationships/table" Target="../tables/table85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6.xml"/><Relationship Id="rId13" Type="http://schemas.openxmlformats.org/officeDocument/2006/relationships/table" Target="../tables/table101.xml"/><Relationship Id="rId18" Type="http://schemas.openxmlformats.org/officeDocument/2006/relationships/table" Target="../tables/table106.xml"/><Relationship Id="rId3" Type="http://schemas.openxmlformats.org/officeDocument/2006/relationships/table" Target="../tables/table91.xml"/><Relationship Id="rId21" Type="http://schemas.openxmlformats.org/officeDocument/2006/relationships/comments" Target="../comments6.xml"/><Relationship Id="rId7" Type="http://schemas.openxmlformats.org/officeDocument/2006/relationships/table" Target="../tables/table95.xml"/><Relationship Id="rId12" Type="http://schemas.openxmlformats.org/officeDocument/2006/relationships/table" Target="../tables/table100.xml"/><Relationship Id="rId17" Type="http://schemas.openxmlformats.org/officeDocument/2006/relationships/table" Target="../tables/table105.xml"/><Relationship Id="rId2" Type="http://schemas.openxmlformats.org/officeDocument/2006/relationships/vmlDrawing" Target="../drawings/vmlDrawing6.vml"/><Relationship Id="rId16" Type="http://schemas.openxmlformats.org/officeDocument/2006/relationships/table" Target="../tables/table104.xml"/><Relationship Id="rId20" Type="http://schemas.openxmlformats.org/officeDocument/2006/relationships/table" Target="../tables/table108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4.xml"/><Relationship Id="rId11" Type="http://schemas.openxmlformats.org/officeDocument/2006/relationships/table" Target="../tables/table99.xml"/><Relationship Id="rId5" Type="http://schemas.openxmlformats.org/officeDocument/2006/relationships/table" Target="../tables/table93.xml"/><Relationship Id="rId15" Type="http://schemas.openxmlformats.org/officeDocument/2006/relationships/table" Target="../tables/table103.xml"/><Relationship Id="rId10" Type="http://schemas.openxmlformats.org/officeDocument/2006/relationships/table" Target="../tables/table98.xml"/><Relationship Id="rId19" Type="http://schemas.openxmlformats.org/officeDocument/2006/relationships/table" Target="../tables/table107.xml"/><Relationship Id="rId4" Type="http://schemas.openxmlformats.org/officeDocument/2006/relationships/table" Target="../tables/table92.xml"/><Relationship Id="rId9" Type="http://schemas.openxmlformats.org/officeDocument/2006/relationships/table" Target="../tables/table97.xml"/><Relationship Id="rId14" Type="http://schemas.openxmlformats.org/officeDocument/2006/relationships/table" Target="../tables/table10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tabSelected="1" zoomScale="70" zoomScaleNormal="70" workbookViewId="0"/>
  </sheetViews>
  <sheetFormatPr defaultRowHeight="15" x14ac:dyDescent="0.25"/>
  <cols>
    <col min="1" max="1" width="126.7109375" customWidth="1"/>
  </cols>
  <sheetData>
    <row r="1" spans="1:12" ht="30" x14ac:dyDescent="0.25">
      <c r="A1" s="102" t="s">
        <v>190</v>
      </c>
    </row>
    <row r="2" spans="1:12" ht="45" x14ac:dyDescent="0.25">
      <c r="A2" s="103" t="s">
        <v>191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2" ht="45" x14ac:dyDescent="0.25">
      <c r="A3" s="103" t="s">
        <v>299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</row>
    <row r="4" spans="1:12" ht="45" customHeight="1" x14ac:dyDescent="0.25">
      <c r="A4" s="103" t="s">
        <v>192</v>
      </c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</row>
    <row r="5" spans="1:12" ht="30" x14ac:dyDescent="0.25">
      <c r="A5" s="102" t="s">
        <v>193</v>
      </c>
    </row>
    <row r="6" spans="1:12" ht="30" x14ac:dyDescent="0.25">
      <c r="A6" s="102" t="s">
        <v>196</v>
      </c>
    </row>
    <row r="7" spans="1:12" x14ac:dyDescent="0.25">
      <c r="A7" s="106" t="s">
        <v>140</v>
      </c>
    </row>
    <row r="8" spans="1:12" x14ac:dyDescent="0.25">
      <c r="A8" s="106" t="s">
        <v>140</v>
      </c>
    </row>
    <row r="9" spans="1:12" x14ac:dyDescent="0.25">
      <c r="A9" s="106" t="s">
        <v>140</v>
      </c>
    </row>
    <row r="10" spans="1:12" x14ac:dyDescent="0.25">
      <c r="A10" s="106" t="s">
        <v>140</v>
      </c>
    </row>
    <row r="11" spans="1:12" x14ac:dyDescent="0.25">
      <c r="A11" s="106" t="s">
        <v>140</v>
      </c>
    </row>
    <row r="12" spans="1:12" x14ac:dyDescent="0.25">
      <c r="A12" s="106" t="s">
        <v>140</v>
      </c>
    </row>
    <row r="13" spans="1:12" x14ac:dyDescent="0.25">
      <c r="A13" s="106" t="s">
        <v>140</v>
      </c>
    </row>
    <row r="14" spans="1:12" x14ac:dyDescent="0.25">
      <c r="A14" s="106" t="s">
        <v>140</v>
      </c>
    </row>
    <row r="15" spans="1:12" x14ac:dyDescent="0.25">
      <c r="A15" s="106" t="s">
        <v>140</v>
      </c>
    </row>
    <row r="16" spans="1:12" x14ac:dyDescent="0.25">
      <c r="A16" s="106" t="s">
        <v>140</v>
      </c>
    </row>
    <row r="17" spans="1:10" x14ac:dyDescent="0.25">
      <c r="A17" s="106" t="s">
        <v>140</v>
      </c>
    </row>
    <row r="18" spans="1:10" x14ac:dyDescent="0.25">
      <c r="A18" s="106" t="s">
        <v>140</v>
      </c>
    </row>
    <row r="19" spans="1:10" x14ac:dyDescent="0.25">
      <c r="A19" s="106" t="s">
        <v>140</v>
      </c>
    </row>
    <row r="20" spans="1:10" x14ac:dyDescent="0.25">
      <c r="A20" s="106" t="s">
        <v>140</v>
      </c>
    </row>
    <row r="21" spans="1:10" x14ac:dyDescent="0.25">
      <c r="A21" s="106" t="s">
        <v>140</v>
      </c>
    </row>
    <row r="22" spans="1:10" x14ac:dyDescent="0.25">
      <c r="A22" s="106" t="s">
        <v>140</v>
      </c>
    </row>
    <row r="23" spans="1:10" x14ac:dyDescent="0.25">
      <c r="A23" s="106" t="s">
        <v>140</v>
      </c>
    </row>
    <row r="24" spans="1:10" x14ac:dyDescent="0.25">
      <c r="A24" s="106" t="s">
        <v>140</v>
      </c>
      <c r="F24" s="104"/>
      <c r="G24" s="104"/>
      <c r="H24" s="104"/>
    </row>
    <row r="25" spans="1:10" ht="15.75" x14ac:dyDescent="0.25">
      <c r="A25" s="107" t="s">
        <v>194</v>
      </c>
      <c r="D25" s="104"/>
      <c r="E25" s="104"/>
      <c r="F25" s="104"/>
      <c r="G25" s="104"/>
      <c r="H25" s="104"/>
      <c r="I25" s="104"/>
      <c r="J25" s="104"/>
    </row>
    <row r="26" spans="1:10" ht="41.25" x14ac:dyDescent="0.25">
      <c r="A26" s="108" t="s">
        <v>197</v>
      </c>
    </row>
    <row r="27" spans="1:10" ht="30" x14ac:dyDescent="0.25">
      <c r="A27" s="102" t="s">
        <v>195</v>
      </c>
    </row>
  </sheetData>
  <pageMargins left="0.7" right="0.7" top="0.75" bottom="0.75" header="0.3" footer="0.3"/>
  <pageSetup scale="7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30"/>
  <sheetViews>
    <sheetView topLeftCell="A133" zoomScaleNormal="100" zoomScalePageLayoutView="80" workbookViewId="0">
      <selection activeCell="B150" sqref="B150"/>
    </sheetView>
  </sheetViews>
  <sheetFormatPr defaultColWidth="9.140625" defaultRowHeight="15.75" x14ac:dyDescent="0.25"/>
  <cols>
    <col min="1" max="1" width="76.5703125" style="206" customWidth="1"/>
    <col min="2" max="2" width="2.5703125" style="206" customWidth="1"/>
    <col min="3" max="3" width="12.5703125" style="208" customWidth="1"/>
    <col min="4" max="4" width="14.5703125" style="89" customWidth="1"/>
    <col min="5" max="5" width="12.5703125" style="208" customWidth="1"/>
    <col min="6" max="6" width="17.7109375" style="209" customWidth="1"/>
    <col min="7" max="7" width="15.5703125" style="210" customWidth="1"/>
    <col min="8" max="8" width="17.7109375" style="209" customWidth="1"/>
    <col min="9" max="10" width="15.5703125" style="210" customWidth="1"/>
    <col min="11" max="11" width="15.5703125" style="209" customWidth="1"/>
    <col min="12" max="12" width="17.7109375" style="209" customWidth="1"/>
    <col min="13" max="16384" width="9.140625" style="151"/>
  </cols>
  <sheetData>
    <row r="1" spans="1:12" ht="54" x14ac:dyDescent="0.25">
      <c r="A1" s="7" t="s">
        <v>597</v>
      </c>
      <c r="B1" s="7"/>
      <c r="C1" s="8"/>
      <c r="D1" s="168"/>
      <c r="E1" s="8"/>
      <c r="F1" s="211"/>
      <c r="G1" s="211"/>
      <c r="H1" s="211"/>
      <c r="I1" s="211"/>
      <c r="J1" s="211"/>
      <c r="K1" s="211"/>
      <c r="L1" s="211"/>
    </row>
    <row r="2" spans="1:12" ht="45" customHeight="1" x14ac:dyDescent="0.25">
      <c r="A2" s="12" t="s">
        <v>6</v>
      </c>
      <c r="B2" s="130" t="s">
        <v>142</v>
      </c>
      <c r="C2" s="12" t="s">
        <v>0</v>
      </c>
      <c r="D2" s="12" t="s">
        <v>441</v>
      </c>
      <c r="E2" s="12" t="s">
        <v>5</v>
      </c>
      <c r="F2" s="189" t="s">
        <v>234</v>
      </c>
      <c r="G2" s="197" t="s">
        <v>235</v>
      </c>
      <c r="H2" s="189" t="s">
        <v>444</v>
      </c>
      <c r="I2" s="189" t="s">
        <v>445</v>
      </c>
      <c r="J2" s="189" t="s">
        <v>446</v>
      </c>
      <c r="K2" s="189" t="s">
        <v>447</v>
      </c>
      <c r="L2" s="189" t="s">
        <v>305</v>
      </c>
    </row>
    <row r="3" spans="1:12" x14ac:dyDescent="0.25">
      <c r="A3" s="224" t="s">
        <v>598</v>
      </c>
      <c r="B3" s="234" t="s">
        <v>140</v>
      </c>
      <c r="C3" s="5" t="s">
        <v>599</v>
      </c>
      <c r="D3" s="83">
        <v>288</v>
      </c>
      <c r="E3" s="83" t="s">
        <v>434</v>
      </c>
      <c r="F3" s="292">
        <v>130288</v>
      </c>
      <c r="G3" s="292">
        <v>0</v>
      </c>
      <c r="H3" s="292">
        <v>130288</v>
      </c>
      <c r="I3" s="292">
        <v>0</v>
      </c>
      <c r="J3" s="292">
        <v>0</v>
      </c>
      <c r="K3" s="292">
        <v>0</v>
      </c>
      <c r="L3" s="292">
        <v>130288</v>
      </c>
    </row>
    <row r="4" spans="1:12" x14ac:dyDescent="0.25">
      <c r="A4" s="224" t="s">
        <v>598</v>
      </c>
      <c r="B4" s="234" t="s">
        <v>140</v>
      </c>
      <c r="C4" s="5" t="s">
        <v>599</v>
      </c>
      <c r="D4" s="83">
        <v>288</v>
      </c>
      <c r="E4" s="83" t="s">
        <v>566</v>
      </c>
      <c r="F4" s="292">
        <v>85888</v>
      </c>
      <c r="G4" s="292">
        <v>0</v>
      </c>
      <c r="H4" s="292">
        <v>85888</v>
      </c>
      <c r="I4" s="292">
        <v>0</v>
      </c>
      <c r="J4" s="292">
        <v>0</v>
      </c>
      <c r="K4" s="292">
        <v>0</v>
      </c>
      <c r="L4" s="292">
        <v>85888</v>
      </c>
    </row>
    <row r="5" spans="1:12" x14ac:dyDescent="0.25">
      <c r="A5" s="202" t="s">
        <v>600</v>
      </c>
      <c r="B5" s="87" t="s">
        <v>140</v>
      </c>
      <c r="C5" s="87" t="s">
        <v>140</v>
      </c>
      <c r="D5" s="87" t="s">
        <v>140</v>
      </c>
      <c r="E5" s="87" t="s">
        <v>140</v>
      </c>
      <c r="F5" s="244">
        <f>SUBTOTAL(109,local288[Program
Costs])</f>
        <v>216176</v>
      </c>
      <c r="G5" s="244">
        <f>SUBTOTAL(109,local288[Less: Net Payments and Offsets])</f>
        <v>0</v>
      </c>
      <c r="H5" s="244">
        <f>SUBTOTAL(109,local288[Accounts Payable
Balance])</f>
        <v>216176</v>
      </c>
      <c r="I5" s="244">
        <f>SUBTOTAL(109,local288[Established
Accounts Receivable])</f>
        <v>0</v>
      </c>
      <c r="J5" s="244">
        <f>SUBTOTAL(109,local288[Less: Recovered Amount])</f>
        <v>0</v>
      </c>
      <c r="K5" s="244">
        <f>SUBTOTAL(109,local288[Accounts Receivable
Balance])</f>
        <v>0</v>
      </c>
      <c r="L5" s="244">
        <f>SUBTOTAL(109,local288[Net
Balance])</f>
        <v>216176</v>
      </c>
    </row>
    <row r="6" spans="1:12" x14ac:dyDescent="0.25">
      <c r="A6" s="235" t="s">
        <v>141</v>
      </c>
      <c r="B6" s="201"/>
      <c r="C6" s="5"/>
      <c r="D6" s="83"/>
      <c r="E6" s="83"/>
      <c r="F6" s="193"/>
      <c r="G6" s="193"/>
      <c r="H6" s="193"/>
      <c r="I6" s="193"/>
      <c r="J6" s="193"/>
      <c r="K6" s="193"/>
      <c r="L6" s="193"/>
    </row>
    <row r="7" spans="1:12" ht="45" customHeight="1" x14ac:dyDescent="0.25">
      <c r="A7" s="10" t="s">
        <v>6</v>
      </c>
      <c r="B7" s="55" t="s">
        <v>142</v>
      </c>
      <c r="C7" s="10" t="s">
        <v>0</v>
      </c>
      <c r="D7" s="10" t="s">
        <v>441</v>
      </c>
      <c r="E7" s="10" t="s">
        <v>5</v>
      </c>
      <c r="F7" s="215" t="s">
        <v>234</v>
      </c>
      <c r="G7" s="216" t="s">
        <v>235</v>
      </c>
      <c r="H7" s="215" t="s">
        <v>444</v>
      </c>
      <c r="I7" s="215" t="s">
        <v>445</v>
      </c>
      <c r="J7" s="215" t="s">
        <v>446</v>
      </c>
      <c r="K7" s="215" t="s">
        <v>447</v>
      </c>
      <c r="L7" s="215" t="s">
        <v>305</v>
      </c>
    </row>
    <row r="8" spans="1:12" x14ac:dyDescent="0.25">
      <c r="A8" s="224" t="s">
        <v>601</v>
      </c>
      <c r="B8" s="234" t="s">
        <v>140</v>
      </c>
      <c r="C8" s="5" t="s">
        <v>602</v>
      </c>
      <c r="D8" s="83">
        <v>310</v>
      </c>
      <c r="E8" s="83" t="s">
        <v>323</v>
      </c>
      <c r="F8" s="283">
        <v>12523141</v>
      </c>
      <c r="G8" s="292">
        <v>0</v>
      </c>
      <c r="H8" s="283">
        <v>12523141</v>
      </c>
      <c r="I8" s="292">
        <v>0</v>
      </c>
      <c r="J8" s="292">
        <v>0</v>
      </c>
      <c r="K8" s="292">
        <v>0</v>
      </c>
      <c r="L8" s="283">
        <v>12523141</v>
      </c>
    </row>
    <row r="9" spans="1:12" x14ac:dyDescent="0.25">
      <c r="A9" s="224" t="s">
        <v>601</v>
      </c>
      <c r="B9" s="234" t="s">
        <v>140</v>
      </c>
      <c r="C9" s="5" t="s">
        <v>602</v>
      </c>
      <c r="D9" s="83">
        <v>310</v>
      </c>
      <c r="E9" s="83" t="s">
        <v>329</v>
      </c>
      <c r="F9" s="283">
        <v>14125357</v>
      </c>
      <c r="G9" s="292">
        <v>0</v>
      </c>
      <c r="H9" s="283">
        <v>14125357</v>
      </c>
      <c r="I9" s="292">
        <v>0</v>
      </c>
      <c r="J9" s="292">
        <v>0</v>
      </c>
      <c r="K9" s="292">
        <v>0</v>
      </c>
      <c r="L9" s="283">
        <v>14125357</v>
      </c>
    </row>
    <row r="10" spans="1:12" x14ac:dyDescent="0.25">
      <c r="A10" s="224" t="s">
        <v>601</v>
      </c>
      <c r="B10" s="234" t="s">
        <v>140</v>
      </c>
      <c r="C10" s="5" t="s">
        <v>602</v>
      </c>
      <c r="D10" s="83">
        <v>310</v>
      </c>
      <c r="E10" s="83" t="s">
        <v>343</v>
      </c>
      <c r="F10" s="283">
        <v>13207386</v>
      </c>
      <c r="G10" s="292">
        <v>0</v>
      </c>
      <c r="H10" s="283">
        <v>13207386</v>
      </c>
      <c r="I10" s="292">
        <v>0</v>
      </c>
      <c r="J10" s="292">
        <v>0</v>
      </c>
      <c r="K10" s="292">
        <v>0</v>
      </c>
      <c r="L10" s="283">
        <v>13207386</v>
      </c>
    </row>
    <row r="11" spans="1:12" x14ac:dyDescent="0.25">
      <c r="A11" s="224" t="s">
        <v>601</v>
      </c>
      <c r="B11" s="234" t="s">
        <v>140</v>
      </c>
      <c r="C11" s="5" t="s">
        <v>602</v>
      </c>
      <c r="D11" s="83">
        <v>310</v>
      </c>
      <c r="E11" s="83" t="s">
        <v>379</v>
      </c>
      <c r="F11" s="283">
        <v>12678040</v>
      </c>
      <c r="G11" s="292">
        <v>0</v>
      </c>
      <c r="H11" s="283">
        <v>12678040</v>
      </c>
      <c r="I11" s="292">
        <v>0</v>
      </c>
      <c r="J11" s="292">
        <v>0</v>
      </c>
      <c r="K11" s="292">
        <v>0</v>
      </c>
      <c r="L11" s="283">
        <v>12678040</v>
      </c>
    </row>
    <row r="12" spans="1:12" x14ac:dyDescent="0.25">
      <c r="A12" s="224" t="s">
        <v>601</v>
      </c>
      <c r="B12" s="234" t="s">
        <v>140</v>
      </c>
      <c r="C12" s="5" t="s">
        <v>602</v>
      </c>
      <c r="D12" s="83">
        <v>310</v>
      </c>
      <c r="E12" s="83" t="s">
        <v>391</v>
      </c>
      <c r="F12" s="283">
        <v>11952785</v>
      </c>
      <c r="G12" s="292">
        <v>0</v>
      </c>
      <c r="H12" s="283">
        <v>11952785</v>
      </c>
      <c r="I12" s="292">
        <v>0</v>
      </c>
      <c r="J12" s="292">
        <v>0</v>
      </c>
      <c r="K12" s="292">
        <v>0</v>
      </c>
      <c r="L12" s="283">
        <v>11952785</v>
      </c>
    </row>
    <row r="13" spans="1:12" x14ac:dyDescent="0.25">
      <c r="A13" s="224" t="s">
        <v>601</v>
      </c>
      <c r="B13" s="234" t="s">
        <v>140</v>
      </c>
      <c r="C13" s="5" t="s">
        <v>602</v>
      </c>
      <c r="D13" s="83">
        <v>310</v>
      </c>
      <c r="E13" s="83" t="s">
        <v>397</v>
      </c>
      <c r="F13" s="283">
        <v>12193655</v>
      </c>
      <c r="G13" s="292">
        <v>0</v>
      </c>
      <c r="H13" s="283">
        <v>12193655</v>
      </c>
      <c r="I13" s="292">
        <v>0</v>
      </c>
      <c r="J13" s="292">
        <v>0</v>
      </c>
      <c r="K13" s="292">
        <v>0</v>
      </c>
      <c r="L13" s="283">
        <v>12193655</v>
      </c>
    </row>
    <row r="14" spans="1:12" x14ac:dyDescent="0.25">
      <c r="A14" s="224" t="s">
        <v>601</v>
      </c>
      <c r="B14" s="234" t="s">
        <v>140</v>
      </c>
      <c r="C14" s="5" t="s">
        <v>602</v>
      </c>
      <c r="D14" s="83">
        <v>310</v>
      </c>
      <c r="E14" s="83" t="s">
        <v>399</v>
      </c>
      <c r="F14" s="283">
        <v>11399331</v>
      </c>
      <c r="G14" s="292">
        <v>0</v>
      </c>
      <c r="H14" s="283">
        <v>11399331</v>
      </c>
      <c r="I14" s="292">
        <v>0</v>
      </c>
      <c r="J14" s="292">
        <v>0</v>
      </c>
      <c r="K14" s="292">
        <v>0</v>
      </c>
      <c r="L14" s="283">
        <v>11399331</v>
      </c>
    </row>
    <row r="15" spans="1:12" x14ac:dyDescent="0.25">
      <c r="A15" s="224" t="s">
        <v>601</v>
      </c>
      <c r="B15" s="234" t="s">
        <v>140</v>
      </c>
      <c r="C15" s="5" t="s">
        <v>602</v>
      </c>
      <c r="D15" s="83">
        <v>310</v>
      </c>
      <c r="E15" s="83" t="s">
        <v>401</v>
      </c>
      <c r="F15" s="283">
        <v>11249413</v>
      </c>
      <c r="G15" s="292">
        <v>0</v>
      </c>
      <c r="H15" s="283">
        <v>11249413</v>
      </c>
      <c r="I15" s="292">
        <v>0</v>
      </c>
      <c r="J15" s="292">
        <v>0</v>
      </c>
      <c r="K15" s="292">
        <v>0</v>
      </c>
      <c r="L15" s="283">
        <v>11249413</v>
      </c>
    </row>
    <row r="16" spans="1:12" x14ac:dyDescent="0.25">
      <c r="A16" s="224" t="s">
        <v>601</v>
      </c>
      <c r="B16" s="234" t="s">
        <v>140</v>
      </c>
      <c r="C16" s="5" t="s">
        <v>602</v>
      </c>
      <c r="D16" s="83">
        <v>310</v>
      </c>
      <c r="E16" s="83" t="s">
        <v>403</v>
      </c>
      <c r="F16" s="283">
        <v>10501219</v>
      </c>
      <c r="G16" s="292">
        <v>0</v>
      </c>
      <c r="H16" s="283">
        <v>10501219</v>
      </c>
      <c r="I16" s="292">
        <v>0</v>
      </c>
      <c r="J16" s="292">
        <v>0</v>
      </c>
      <c r="K16" s="292">
        <v>0</v>
      </c>
      <c r="L16" s="283">
        <v>10501219</v>
      </c>
    </row>
    <row r="17" spans="1:12" x14ac:dyDescent="0.25">
      <c r="A17" s="224" t="s">
        <v>601</v>
      </c>
      <c r="B17" s="234" t="s">
        <v>140</v>
      </c>
      <c r="C17" s="5" t="s">
        <v>602</v>
      </c>
      <c r="D17" s="83">
        <v>310</v>
      </c>
      <c r="E17" s="83" t="s">
        <v>405</v>
      </c>
      <c r="F17" s="283">
        <v>9619474</v>
      </c>
      <c r="G17" s="292">
        <v>0</v>
      </c>
      <c r="H17" s="283">
        <v>9619474</v>
      </c>
      <c r="I17" s="292">
        <v>0</v>
      </c>
      <c r="J17" s="292">
        <v>0</v>
      </c>
      <c r="K17" s="292">
        <v>0</v>
      </c>
      <c r="L17" s="283">
        <v>9619474</v>
      </c>
    </row>
    <row r="18" spans="1:12" x14ac:dyDescent="0.25">
      <c r="A18" s="224" t="s">
        <v>601</v>
      </c>
      <c r="B18" s="234" t="s">
        <v>140</v>
      </c>
      <c r="C18" s="5" t="s">
        <v>602</v>
      </c>
      <c r="D18" s="83">
        <v>310</v>
      </c>
      <c r="E18" s="83" t="s">
        <v>407</v>
      </c>
      <c r="F18" s="283">
        <v>9157636</v>
      </c>
      <c r="G18" s="292">
        <v>0</v>
      </c>
      <c r="H18" s="283">
        <v>9157636</v>
      </c>
      <c r="I18" s="292">
        <v>0</v>
      </c>
      <c r="J18" s="292">
        <v>0</v>
      </c>
      <c r="K18" s="292">
        <v>0</v>
      </c>
      <c r="L18" s="283">
        <v>9157636</v>
      </c>
    </row>
    <row r="19" spans="1:12" x14ac:dyDescent="0.25">
      <c r="A19" s="199" t="s">
        <v>603</v>
      </c>
      <c r="B19" s="200" t="s">
        <v>140</v>
      </c>
      <c r="C19" s="200" t="s">
        <v>140</v>
      </c>
      <c r="D19" s="200" t="s">
        <v>140</v>
      </c>
      <c r="E19" s="200" t="s">
        <v>140</v>
      </c>
      <c r="F19" s="293">
        <f>SUBTOTAL(109,local310[Program
Costs])</f>
        <v>128607437</v>
      </c>
      <c r="G19" s="293">
        <f>SUBTOTAL(109,local310[Less: Net Payments and Offsets])</f>
        <v>0</v>
      </c>
      <c r="H19" s="293">
        <f>SUBTOTAL(109,local310[Accounts Payable
Balance])</f>
        <v>128607437</v>
      </c>
      <c r="I19" s="293">
        <f>SUBTOTAL(109,local310[Established
Accounts Receivable])</f>
        <v>0</v>
      </c>
      <c r="J19" s="293">
        <f>SUBTOTAL(109,local310[Less: Recovered Amount])</f>
        <v>0</v>
      </c>
      <c r="K19" s="293">
        <f>SUBTOTAL(109,local310[Accounts Receivable
Balance])</f>
        <v>0</v>
      </c>
      <c r="L19" s="293">
        <f>SUBTOTAL(109,local310[Net
Balance])</f>
        <v>128607437</v>
      </c>
    </row>
    <row r="20" spans="1:12" x14ac:dyDescent="0.25">
      <c r="A20" s="235" t="s">
        <v>141</v>
      </c>
      <c r="B20" s="201"/>
      <c r="C20" s="5"/>
      <c r="D20" s="83"/>
      <c r="E20" s="83"/>
      <c r="F20" s="193"/>
      <c r="G20" s="193"/>
      <c r="H20" s="193"/>
      <c r="I20" s="193"/>
      <c r="J20" s="193"/>
      <c r="K20" s="193"/>
      <c r="L20" s="193"/>
    </row>
    <row r="21" spans="1:12" ht="45" customHeight="1" x14ac:dyDescent="0.25">
      <c r="A21" s="10" t="s">
        <v>6</v>
      </c>
      <c r="B21" s="55" t="s">
        <v>142</v>
      </c>
      <c r="C21" s="10" t="s">
        <v>0</v>
      </c>
      <c r="D21" s="10" t="s">
        <v>441</v>
      </c>
      <c r="E21" s="10" t="s">
        <v>5</v>
      </c>
      <c r="F21" s="215" t="s">
        <v>234</v>
      </c>
      <c r="G21" s="216" t="s">
        <v>235</v>
      </c>
      <c r="H21" s="215" t="s">
        <v>444</v>
      </c>
      <c r="I21" s="215" t="s">
        <v>445</v>
      </c>
      <c r="J21" s="215" t="s">
        <v>446</v>
      </c>
      <c r="K21" s="215" t="s">
        <v>447</v>
      </c>
      <c r="L21" s="215" t="s">
        <v>305</v>
      </c>
    </row>
    <row r="22" spans="1:12" x14ac:dyDescent="0.25">
      <c r="A22" s="224" t="s">
        <v>604</v>
      </c>
      <c r="B22" s="234" t="s">
        <v>140</v>
      </c>
      <c r="C22" s="5" t="s">
        <v>605</v>
      </c>
      <c r="D22" s="83">
        <v>306</v>
      </c>
      <c r="E22" s="83" t="s">
        <v>329</v>
      </c>
      <c r="F22" s="292">
        <v>57816</v>
      </c>
      <c r="G22" s="292">
        <v>0</v>
      </c>
      <c r="H22" s="292">
        <v>57816</v>
      </c>
      <c r="I22" s="292">
        <v>0</v>
      </c>
      <c r="J22" s="292">
        <v>0</v>
      </c>
      <c r="K22" s="292">
        <v>0</v>
      </c>
      <c r="L22" s="292">
        <v>57816</v>
      </c>
    </row>
    <row r="23" spans="1:12" x14ac:dyDescent="0.25">
      <c r="A23" s="224" t="s">
        <v>604</v>
      </c>
      <c r="B23" s="234" t="s">
        <v>140</v>
      </c>
      <c r="C23" s="5" t="s">
        <v>605</v>
      </c>
      <c r="D23" s="83">
        <v>306</v>
      </c>
      <c r="E23" s="83" t="s">
        <v>343</v>
      </c>
      <c r="F23" s="292">
        <v>297792</v>
      </c>
      <c r="G23" s="292">
        <v>0</v>
      </c>
      <c r="H23" s="292">
        <v>297792</v>
      </c>
      <c r="I23" s="292">
        <v>0</v>
      </c>
      <c r="J23" s="292">
        <v>0</v>
      </c>
      <c r="K23" s="292">
        <v>0</v>
      </c>
      <c r="L23" s="292">
        <v>297792</v>
      </c>
    </row>
    <row r="24" spans="1:12" x14ac:dyDescent="0.25">
      <c r="A24" s="224" t="s">
        <v>604</v>
      </c>
      <c r="B24" s="234" t="s">
        <v>140</v>
      </c>
      <c r="C24" s="5" t="s">
        <v>605</v>
      </c>
      <c r="D24" s="83">
        <v>306</v>
      </c>
      <c r="E24" s="83" t="s">
        <v>379</v>
      </c>
      <c r="F24" s="292">
        <v>263698</v>
      </c>
      <c r="G24" s="292">
        <v>0</v>
      </c>
      <c r="H24" s="292">
        <v>263698</v>
      </c>
      <c r="I24" s="292">
        <v>0</v>
      </c>
      <c r="J24" s="292">
        <v>0</v>
      </c>
      <c r="K24" s="292">
        <v>0</v>
      </c>
      <c r="L24" s="292">
        <v>263698</v>
      </c>
    </row>
    <row r="25" spans="1:12" x14ac:dyDescent="0.25">
      <c r="A25" s="224" t="s">
        <v>604</v>
      </c>
      <c r="B25" s="234" t="s">
        <v>140</v>
      </c>
      <c r="C25" s="5" t="s">
        <v>605</v>
      </c>
      <c r="D25" s="83">
        <v>306</v>
      </c>
      <c r="E25" s="83" t="s">
        <v>391</v>
      </c>
      <c r="F25" s="292">
        <v>275387</v>
      </c>
      <c r="G25" s="292">
        <v>0</v>
      </c>
      <c r="H25" s="292">
        <v>275387</v>
      </c>
      <c r="I25" s="292">
        <v>0</v>
      </c>
      <c r="J25" s="292">
        <v>0</v>
      </c>
      <c r="K25" s="292">
        <v>0</v>
      </c>
      <c r="L25" s="292">
        <v>275387</v>
      </c>
    </row>
    <row r="26" spans="1:12" x14ac:dyDescent="0.25">
      <c r="A26" s="224" t="s">
        <v>604</v>
      </c>
      <c r="B26" s="234" t="s">
        <v>140</v>
      </c>
      <c r="C26" s="5" t="s">
        <v>605</v>
      </c>
      <c r="D26" s="83">
        <v>306</v>
      </c>
      <c r="E26" s="83" t="s">
        <v>397</v>
      </c>
      <c r="F26" s="292">
        <v>253715</v>
      </c>
      <c r="G26" s="292">
        <v>0</v>
      </c>
      <c r="H26" s="292">
        <v>253715</v>
      </c>
      <c r="I26" s="292">
        <v>0</v>
      </c>
      <c r="J26" s="292">
        <v>0</v>
      </c>
      <c r="K26" s="292">
        <v>0</v>
      </c>
      <c r="L26" s="292">
        <v>253715</v>
      </c>
    </row>
    <row r="27" spans="1:12" x14ac:dyDescent="0.25">
      <c r="A27" s="224" t="s">
        <v>604</v>
      </c>
      <c r="B27" s="234" t="s">
        <v>140</v>
      </c>
      <c r="C27" s="5" t="s">
        <v>605</v>
      </c>
      <c r="D27" s="83">
        <v>306</v>
      </c>
      <c r="E27" s="83" t="s">
        <v>399</v>
      </c>
      <c r="F27" s="292">
        <v>228442</v>
      </c>
      <c r="G27" s="292">
        <v>0</v>
      </c>
      <c r="H27" s="292">
        <v>228442</v>
      </c>
      <c r="I27" s="292">
        <v>0</v>
      </c>
      <c r="J27" s="292">
        <v>0</v>
      </c>
      <c r="K27" s="292">
        <v>0</v>
      </c>
      <c r="L27" s="292">
        <v>228442</v>
      </c>
    </row>
    <row r="28" spans="1:12" x14ac:dyDescent="0.25">
      <c r="A28" s="224" t="s">
        <v>604</v>
      </c>
      <c r="B28" s="234" t="s">
        <v>140</v>
      </c>
      <c r="C28" s="5" t="s">
        <v>605</v>
      </c>
      <c r="D28" s="83">
        <v>306</v>
      </c>
      <c r="E28" s="83" t="s">
        <v>401</v>
      </c>
      <c r="F28" s="292">
        <v>222536</v>
      </c>
      <c r="G28" s="292">
        <v>0</v>
      </c>
      <c r="H28" s="292">
        <v>222536</v>
      </c>
      <c r="I28" s="292">
        <v>0</v>
      </c>
      <c r="J28" s="292">
        <v>0</v>
      </c>
      <c r="K28" s="292">
        <v>0</v>
      </c>
      <c r="L28" s="292">
        <v>222536</v>
      </c>
    </row>
    <row r="29" spans="1:12" x14ac:dyDescent="0.25">
      <c r="A29" s="224" t="s">
        <v>604</v>
      </c>
      <c r="B29" s="234" t="s">
        <v>140</v>
      </c>
      <c r="C29" s="5" t="s">
        <v>605</v>
      </c>
      <c r="D29" s="83">
        <v>306</v>
      </c>
      <c r="E29" s="83" t="s">
        <v>403</v>
      </c>
      <c r="F29" s="292">
        <v>198432</v>
      </c>
      <c r="G29" s="292">
        <v>0</v>
      </c>
      <c r="H29" s="292">
        <v>198432</v>
      </c>
      <c r="I29" s="292">
        <v>0</v>
      </c>
      <c r="J29" s="292">
        <v>0</v>
      </c>
      <c r="K29" s="292">
        <v>0</v>
      </c>
      <c r="L29" s="292">
        <v>198432</v>
      </c>
    </row>
    <row r="30" spans="1:12" x14ac:dyDescent="0.25">
      <c r="A30" s="224" t="s">
        <v>604</v>
      </c>
      <c r="B30" s="234" t="s">
        <v>140</v>
      </c>
      <c r="C30" s="5" t="s">
        <v>605</v>
      </c>
      <c r="D30" s="83">
        <v>306</v>
      </c>
      <c r="E30" s="83" t="s">
        <v>405</v>
      </c>
      <c r="F30" s="292">
        <v>159800</v>
      </c>
      <c r="G30" s="292">
        <v>0</v>
      </c>
      <c r="H30" s="292">
        <v>159800</v>
      </c>
      <c r="I30" s="292">
        <v>0</v>
      </c>
      <c r="J30" s="292">
        <v>0</v>
      </c>
      <c r="K30" s="292">
        <v>0</v>
      </c>
      <c r="L30" s="292">
        <v>159800</v>
      </c>
    </row>
    <row r="31" spans="1:12" x14ac:dyDescent="0.25">
      <c r="A31" s="224" t="s">
        <v>604</v>
      </c>
      <c r="B31" s="234" t="s">
        <v>140</v>
      </c>
      <c r="C31" s="5" t="s">
        <v>605</v>
      </c>
      <c r="D31" s="83">
        <v>306</v>
      </c>
      <c r="E31" s="83" t="s">
        <v>407</v>
      </c>
      <c r="F31" s="292">
        <v>51990</v>
      </c>
      <c r="G31" s="292">
        <v>0</v>
      </c>
      <c r="H31" s="292">
        <v>51990</v>
      </c>
      <c r="I31" s="292">
        <v>0</v>
      </c>
      <c r="J31" s="292">
        <v>0</v>
      </c>
      <c r="K31" s="292">
        <v>0</v>
      </c>
      <c r="L31" s="292">
        <v>51990</v>
      </c>
    </row>
    <row r="32" spans="1:12" x14ac:dyDescent="0.25">
      <c r="A32" s="202" t="s">
        <v>606</v>
      </c>
      <c r="B32" s="87" t="s">
        <v>140</v>
      </c>
      <c r="C32" s="87" t="s">
        <v>140</v>
      </c>
      <c r="D32" s="87" t="s">
        <v>140</v>
      </c>
      <c r="E32" s="87" t="s">
        <v>140</v>
      </c>
      <c r="F32" s="244">
        <f>SUBTOTAL(109,local306[Program
Costs])</f>
        <v>2009608</v>
      </c>
      <c r="G32" s="244">
        <f>SUBTOTAL(109,local306[Less: Net Payments and Offsets])</f>
        <v>0</v>
      </c>
      <c r="H32" s="244">
        <f>SUBTOTAL(109,local306[Accounts Payable
Balance])</f>
        <v>2009608</v>
      </c>
      <c r="I32" s="244">
        <f>SUBTOTAL(109,local306[Established
Accounts Receivable])</f>
        <v>0</v>
      </c>
      <c r="J32" s="244">
        <f>SUBTOTAL(109,local306[Less: Recovered Amount])</f>
        <v>0</v>
      </c>
      <c r="K32" s="244">
        <f>SUBTOTAL(109,local306[Accounts Receivable
Balance])</f>
        <v>0</v>
      </c>
      <c r="L32" s="244">
        <f>SUBTOTAL(109,local306[Net
Balance])</f>
        <v>2009608</v>
      </c>
    </row>
    <row r="33" spans="1:12" x14ac:dyDescent="0.25">
      <c r="A33" s="235" t="s">
        <v>141</v>
      </c>
      <c r="B33" s="201"/>
      <c r="C33" s="5"/>
      <c r="D33" s="83"/>
      <c r="E33" s="83"/>
      <c r="F33" s="193"/>
      <c r="G33" s="193"/>
      <c r="H33" s="193"/>
      <c r="I33" s="193"/>
      <c r="J33" s="193"/>
      <c r="K33" s="193"/>
      <c r="L33" s="193"/>
    </row>
    <row r="34" spans="1:12" ht="45" customHeight="1" x14ac:dyDescent="0.25">
      <c r="A34" s="10" t="s">
        <v>6</v>
      </c>
      <c r="B34" s="55" t="s">
        <v>142</v>
      </c>
      <c r="C34" s="10" t="s">
        <v>0</v>
      </c>
      <c r="D34" s="10" t="s">
        <v>441</v>
      </c>
      <c r="E34" s="10" t="s">
        <v>5</v>
      </c>
      <c r="F34" s="215" t="s">
        <v>234</v>
      </c>
      <c r="G34" s="216" t="s">
        <v>235</v>
      </c>
      <c r="H34" s="215" t="s">
        <v>444</v>
      </c>
      <c r="I34" s="215" t="s">
        <v>445</v>
      </c>
      <c r="J34" s="215" t="s">
        <v>446</v>
      </c>
      <c r="K34" s="215" t="s">
        <v>447</v>
      </c>
      <c r="L34" s="215" t="s">
        <v>305</v>
      </c>
    </row>
    <row r="35" spans="1:12" x14ac:dyDescent="0.25">
      <c r="A35" s="224" t="s">
        <v>607</v>
      </c>
      <c r="B35" s="234" t="s">
        <v>140</v>
      </c>
      <c r="C35" s="5" t="s">
        <v>608</v>
      </c>
      <c r="D35" s="83">
        <v>322</v>
      </c>
      <c r="E35" s="83" t="s">
        <v>321</v>
      </c>
      <c r="F35" s="292">
        <v>1007989</v>
      </c>
      <c r="G35" s="292">
        <v>0</v>
      </c>
      <c r="H35" s="292">
        <v>1007989</v>
      </c>
      <c r="I35" s="292">
        <v>0</v>
      </c>
      <c r="J35" s="292">
        <v>0</v>
      </c>
      <c r="K35" s="292">
        <v>0</v>
      </c>
      <c r="L35" s="292">
        <v>1007989</v>
      </c>
    </row>
    <row r="36" spans="1:12" x14ac:dyDescent="0.25">
      <c r="A36" s="224" t="s">
        <v>607</v>
      </c>
      <c r="B36" s="234" t="s">
        <v>140</v>
      </c>
      <c r="C36" s="5" t="s">
        <v>608</v>
      </c>
      <c r="D36" s="83">
        <v>322</v>
      </c>
      <c r="E36" s="83" t="s">
        <v>323</v>
      </c>
      <c r="F36" s="292">
        <v>1255634</v>
      </c>
      <c r="G36" s="292">
        <v>0</v>
      </c>
      <c r="H36" s="292">
        <v>1255634</v>
      </c>
      <c r="I36" s="292">
        <v>0</v>
      </c>
      <c r="J36" s="292">
        <v>0</v>
      </c>
      <c r="K36" s="292">
        <v>0</v>
      </c>
      <c r="L36" s="292">
        <v>1255634</v>
      </c>
    </row>
    <row r="37" spans="1:12" x14ac:dyDescent="0.25">
      <c r="A37" s="224" t="s">
        <v>607</v>
      </c>
      <c r="B37" s="234" t="s">
        <v>140</v>
      </c>
      <c r="C37" s="5" t="s">
        <v>608</v>
      </c>
      <c r="D37" s="83">
        <v>322</v>
      </c>
      <c r="E37" s="83" t="s">
        <v>329</v>
      </c>
      <c r="F37" s="292">
        <v>1272627</v>
      </c>
      <c r="G37" s="292">
        <v>0</v>
      </c>
      <c r="H37" s="292">
        <v>1272627</v>
      </c>
      <c r="I37" s="292">
        <v>0</v>
      </c>
      <c r="J37" s="292">
        <v>0</v>
      </c>
      <c r="K37" s="292">
        <v>0</v>
      </c>
      <c r="L37" s="292">
        <v>1272627</v>
      </c>
    </row>
    <row r="38" spans="1:12" x14ac:dyDescent="0.25">
      <c r="A38" s="224" t="s">
        <v>607</v>
      </c>
      <c r="B38" s="234" t="s">
        <v>140</v>
      </c>
      <c r="C38" s="5" t="s">
        <v>608</v>
      </c>
      <c r="D38" s="83">
        <v>322</v>
      </c>
      <c r="E38" s="83" t="s">
        <v>343</v>
      </c>
      <c r="F38" s="292">
        <v>1083952</v>
      </c>
      <c r="G38" s="292">
        <v>0</v>
      </c>
      <c r="H38" s="292">
        <v>1083952</v>
      </c>
      <c r="I38" s="292">
        <v>0</v>
      </c>
      <c r="J38" s="292">
        <v>0</v>
      </c>
      <c r="K38" s="292">
        <v>0</v>
      </c>
      <c r="L38" s="292">
        <v>1083952</v>
      </c>
    </row>
    <row r="39" spans="1:12" x14ac:dyDescent="0.25">
      <c r="A39" s="224" t="s">
        <v>607</v>
      </c>
      <c r="B39" s="234" t="s">
        <v>140</v>
      </c>
      <c r="C39" s="5" t="s">
        <v>608</v>
      </c>
      <c r="D39" s="83">
        <v>322</v>
      </c>
      <c r="E39" s="83" t="s">
        <v>379</v>
      </c>
      <c r="F39" s="292">
        <v>1106027</v>
      </c>
      <c r="G39" s="292">
        <v>0</v>
      </c>
      <c r="H39" s="292">
        <v>1106027</v>
      </c>
      <c r="I39" s="292">
        <v>0</v>
      </c>
      <c r="J39" s="292">
        <v>0</v>
      </c>
      <c r="K39" s="292">
        <v>0</v>
      </c>
      <c r="L39" s="292">
        <v>1106027</v>
      </c>
    </row>
    <row r="40" spans="1:12" x14ac:dyDescent="0.25">
      <c r="A40" s="224" t="s">
        <v>607</v>
      </c>
      <c r="B40" s="234" t="s">
        <v>140</v>
      </c>
      <c r="C40" s="5" t="s">
        <v>608</v>
      </c>
      <c r="D40" s="83">
        <v>322</v>
      </c>
      <c r="E40" s="83" t="s">
        <v>391</v>
      </c>
      <c r="F40" s="292">
        <v>1058326</v>
      </c>
      <c r="G40" s="292">
        <v>0</v>
      </c>
      <c r="H40" s="292">
        <v>1058326</v>
      </c>
      <c r="I40" s="292">
        <v>0</v>
      </c>
      <c r="J40" s="292">
        <v>0</v>
      </c>
      <c r="K40" s="292">
        <v>0</v>
      </c>
      <c r="L40" s="292">
        <v>1058326</v>
      </c>
    </row>
    <row r="41" spans="1:12" x14ac:dyDescent="0.25">
      <c r="A41" s="224" t="s">
        <v>607</v>
      </c>
      <c r="B41" s="234" t="s">
        <v>140</v>
      </c>
      <c r="C41" s="5" t="s">
        <v>608</v>
      </c>
      <c r="D41" s="83">
        <v>322</v>
      </c>
      <c r="E41" s="83" t="s">
        <v>397</v>
      </c>
      <c r="F41" s="292">
        <v>983574</v>
      </c>
      <c r="G41" s="292">
        <v>0</v>
      </c>
      <c r="H41" s="292">
        <v>983574</v>
      </c>
      <c r="I41" s="292">
        <v>0</v>
      </c>
      <c r="J41" s="292">
        <v>0</v>
      </c>
      <c r="K41" s="292">
        <v>0</v>
      </c>
      <c r="L41" s="292">
        <v>983574</v>
      </c>
    </row>
    <row r="42" spans="1:12" x14ac:dyDescent="0.25">
      <c r="A42" s="224" t="s">
        <v>607</v>
      </c>
      <c r="B42" s="234" t="s">
        <v>140</v>
      </c>
      <c r="C42" s="5" t="s">
        <v>608</v>
      </c>
      <c r="D42" s="83">
        <v>322</v>
      </c>
      <c r="E42" s="83" t="s">
        <v>399</v>
      </c>
      <c r="F42" s="292">
        <v>963520</v>
      </c>
      <c r="G42" s="292">
        <v>0</v>
      </c>
      <c r="H42" s="292">
        <v>963520</v>
      </c>
      <c r="I42" s="292">
        <v>0</v>
      </c>
      <c r="J42" s="292">
        <v>0</v>
      </c>
      <c r="K42" s="292">
        <v>0</v>
      </c>
      <c r="L42" s="292">
        <v>963520</v>
      </c>
    </row>
    <row r="43" spans="1:12" x14ac:dyDescent="0.25">
      <c r="A43" s="224" t="s">
        <v>607</v>
      </c>
      <c r="B43" s="234" t="s">
        <v>140</v>
      </c>
      <c r="C43" s="5" t="s">
        <v>608</v>
      </c>
      <c r="D43" s="83">
        <v>322</v>
      </c>
      <c r="E43" s="83" t="s">
        <v>401</v>
      </c>
      <c r="F43" s="292">
        <v>902976</v>
      </c>
      <c r="G43" s="292">
        <v>0</v>
      </c>
      <c r="H43" s="292">
        <v>902976</v>
      </c>
      <c r="I43" s="292">
        <v>0</v>
      </c>
      <c r="J43" s="292">
        <v>0</v>
      </c>
      <c r="K43" s="292">
        <v>0</v>
      </c>
      <c r="L43" s="292">
        <v>902976</v>
      </c>
    </row>
    <row r="44" spans="1:12" x14ac:dyDescent="0.25">
      <c r="A44" s="224" t="s">
        <v>607</v>
      </c>
      <c r="B44" s="234" t="s">
        <v>140</v>
      </c>
      <c r="C44" s="5" t="s">
        <v>608</v>
      </c>
      <c r="D44" s="83">
        <v>322</v>
      </c>
      <c r="E44" s="83" t="s">
        <v>403</v>
      </c>
      <c r="F44" s="292">
        <v>947582</v>
      </c>
      <c r="G44" s="292">
        <v>0</v>
      </c>
      <c r="H44" s="292">
        <v>947582</v>
      </c>
      <c r="I44" s="292">
        <v>0</v>
      </c>
      <c r="J44" s="292">
        <v>0</v>
      </c>
      <c r="K44" s="292">
        <v>0</v>
      </c>
      <c r="L44" s="292">
        <v>947582</v>
      </c>
    </row>
    <row r="45" spans="1:12" x14ac:dyDescent="0.25">
      <c r="A45" s="224" t="s">
        <v>607</v>
      </c>
      <c r="B45" s="234" t="s">
        <v>140</v>
      </c>
      <c r="C45" s="5" t="s">
        <v>608</v>
      </c>
      <c r="D45" s="83">
        <v>322</v>
      </c>
      <c r="E45" s="83" t="s">
        <v>405</v>
      </c>
      <c r="F45" s="292">
        <v>876657</v>
      </c>
      <c r="G45" s="292">
        <v>0</v>
      </c>
      <c r="H45" s="292">
        <v>876657</v>
      </c>
      <c r="I45" s="292">
        <v>0</v>
      </c>
      <c r="J45" s="292">
        <v>0</v>
      </c>
      <c r="K45" s="292">
        <v>0</v>
      </c>
      <c r="L45" s="292">
        <v>876657</v>
      </c>
    </row>
    <row r="46" spans="1:12" ht="15" customHeight="1" x14ac:dyDescent="0.25">
      <c r="A46" s="224" t="s">
        <v>607</v>
      </c>
      <c r="B46" s="234" t="s">
        <v>140</v>
      </c>
      <c r="C46" s="5" t="s">
        <v>608</v>
      </c>
      <c r="D46" s="83">
        <v>322</v>
      </c>
      <c r="E46" s="83" t="s">
        <v>407</v>
      </c>
      <c r="F46" s="292">
        <v>468430</v>
      </c>
      <c r="G46" s="292">
        <v>0</v>
      </c>
      <c r="H46" s="292">
        <v>468430</v>
      </c>
      <c r="I46" s="292">
        <v>0</v>
      </c>
      <c r="J46" s="292">
        <v>0</v>
      </c>
      <c r="K46" s="292">
        <v>0</v>
      </c>
      <c r="L46" s="292">
        <v>468430</v>
      </c>
    </row>
    <row r="47" spans="1:12" ht="15" customHeight="1" x14ac:dyDescent="0.25">
      <c r="A47" s="202" t="s">
        <v>609</v>
      </c>
      <c r="B47" s="87" t="s">
        <v>140</v>
      </c>
      <c r="C47" s="87" t="s">
        <v>140</v>
      </c>
      <c r="D47" s="87" t="s">
        <v>140</v>
      </c>
      <c r="E47" s="87" t="s">
        <v>140</v>
      </c>
      <c r="F47" s="244">
        <f>SUBTOTAL(109,local322[Program
Costs])</f>
        <v>11927294</v>
      </c>
      <c r="G47" s="244">
        <f>SUBTOTAL(109,local322[Less: Net Payments and Offsets])</f>
        <v>0</v>
      </c>
      <c r="H47" s="244">
        <f>SUBTOTAL(109,local322[Accounts Payable
Balance])</f>
        <v>11927294</v>
      </c>
      <c r="I47" s="244">
        <f>SUBTOTAL(109,local322[Established
Accounts Receivable])</f>
        <v>0</v>
      </c>
      <c r="J47" s="244">
        <f>SUBTOTAL(109,local322[Less: Recovered Amount])</f>
        <v>0</v>
      </c>
      <c r="K47" s="244">
        <f>SUBTOTAL(109,local322[Accounts Receivable
Balance])</f>
        <v>0</v>
      </c>
      <c r="L47" s="244">
        <f>SUBTOTAL(109,local322[Net
Balance])</f>
        <v>11927294</v>
      </c>
    </row>
    <row r="48" spans="1:12" ht="15" customHeight="1" x14ac:dyDescent="0.25">
      <c r="A48" s="235" t="s">
        <v>141</v>
      </c>
      <c r="B48" s="201"/>
      <c r="C48" s="5"/>
      <c r="D48" s="83"/>
      <c r="E48" s="83"/>
      <c r="F48" s="193"/>
      <c r="G48" s="193"/>
      <c r="H48" s="193"/>
      <c r="I48" s="193"/>
      <c r="J48" s="193"/>
      <c r="K48" s="193"/>
      <c r="L48" s="193"/>
    </row>
    <row r="49" spans="1:12" ht="45" customHeight="1" x14ac:dyDescent="0.25">
      <c r="A49" s="10" t="s">
        <v>6</v>
      </c>
      <c r="B49" s="55" t="s">
        <v>142</v>
      </c>
      <c r="C49" s="10" t="s">
        <v>0</v>
      </c>
      <c r="D49" s="10" t="s">
        <v>441</v>
      </c>
      <c r="E49" s="10" t="s">
        <v>5</v>
      </c>
      <c r="F49" s="215" t="s">
        <v>234</v>
      </c>
      <c r="G49" s="216" t="s">
        <v>235</v>
      </c>
      <c r="H49" s="215" t="s">
        <v>444</v>
      </c>
      <c r="I49" s="215" t="s">
        <v>445</v>
      </c>
      <c r="J49" s="215" t="s">
        <v>446</v>
      </c>
      <c r="K49" s="215" t="s">
        <v>447</v>
      </c>
      <c r="L49" s="215" t="s">
        <v>305</v>
      </c>
    </row>
    <row r="50" spans="1:12" ht="15" customHeight="1" x14ac:dyDescent="0.25">
      <c r="A50" s="224" t="s">
        <v>610</v>
      </c>
      <c r="B50" s="234" t="s">
        <v>140</v>
      </c>
      <c r="C50" s="5" t="s">
        <v>611</v>
      </c>
      <c r="D50" s="83">
        <v>293</v>
      </c>
      <c r="E50" s="83" t="s">
        <v>343</v>
      </c>
      <c r="F50" s="292">
        <v>4732</v>
      </c>
      <c r="G50" s="292">
        <v>0</v>
      </c>
      <c r="H50" s="292">
        <v>4732</v>
      </c>
      <c r="I50" s="292">
        <v>0</v>
      </c>
      <c r="J50" s="292">
        <v>0</v>
      </c>
      <c r="K50" s="292">
        <v>0</v>
      </c>
      <c r="L50" s="292">
        <v>4732</v>
      </c>
    </row>
    <row r="51" spans="1:12" ht="15" customHeight="1" x14ac:dyDescent="0.25">
      <c r="A51" s="224" t="s">
        <v>610</v>
      </c>
      <c r="B51" s="234" t="s">
        <v>140</v>
      </c>
      <c r="C51" s="5" t="s">
        <v>611</v>
      </c>
      <c r="D51" s="83">
        <v>293</v>
      </c>
      <c r="E51" s="83" t="s">
        <v>379</v>
      </c>
      <c r="F51" s="292">
        <v>31906</v>
      </c>
      <c r="G51" s="292">
        <v>0</v>
      </c>
      <c r="H51" s="292">
        <v>31906</v>
      </c>
      <c r="I51" s="292">
        <v>0</v>
      </c>
      <c r="J51" s="292">
        <v>0</v>
      </c>
      <c r="K51" s="292">
        <v>0</v>
      </c>
      <c r="L51" s="292">
        <v>31906</v>
      </c>
    </row>
    <row r="52" spans="1:12" ht="15" customHeight="1" x14ac:dyDescent="0.25">
      <c r="A52" s="224" t="s">
        <v>610</v>
      </c>
      <c r="B52" s="234" t="s">
        <v>140</v>
      </c>
      <c r="C52" s="5" t="s">
        <v>611</v>
      </c>
      <c r="D52" s="83">
        <v>293</v>
      </c>
      <c r="E52" s="83" t="s">
        <v>391</v>
      </c>
      <c r="F52" s="292">
        <v>27775</v>
      </c>
      <c r="G52" s="292">
        <v>0</v>
      </c>
      <c r="H52" s="292">
        <v>27775</v>
      </c>
      <c r="I52" s="292">
        <v>0</v>
      </c>
      <c r="J52" s="292">
        <v>0</v>
      </c>
      <c r="K52" s="292">
        <v>0</v>
      </c>
      <c r="L52" s="292">
        <v>27775</v>
      </c>
    </row>
    <row r="53" spans="1:12" ht="15" customHeight="1" x14ac:dyDescent="0.25">
      <c r="A53" s="224" t="s">
        <v>610</v>
      </c>
      <c r="B53" s="234" t="s">
        <v>140</v>
      </c>
      <c r="C53" s="5" t="s">
        <v>611</v>
      </c>
      <c r="D53" s="83">
        <v>293</v>
      </c>
      <c r="E53" s="83" t="s">
        <v>397</v>
      </c>
      <c r="F53" s="292">
        <v>17343</v>
      </c>
      <c r="G53" s="292">
        <v>0</v>
      </c>
      <c r="H53" s="292">
        <v>17343</v>
      </c>
      <c r="I53" s="292">
        <v>0</v>
      </c>
      <c r="J53" s="292">
        <v>0</v>
      </c>
      <c r="K53" s="292">
        <v>0</v>
      </c>
      <c r="L53" s="292">
        <v>17343</v>
      </c>
    </row>
    <row r="54" spans="1:12" ht="15" customHeight="1" x14ac:dyDescent="0.25">
      <c r="A54" s="224" t="s">
        <v>610</v>
      </c>
      <c r="B54" s="234" t="s">
        <v>140</v>
      </c>
      <c r="C54" s="5" t="s">
        <v>611</v>
      </c>
      <c r="D54" s="83">
        <v>293</v>
      </c>
      <c r="E54" s="83" t="s">
        <v>399</v>
      </c>
      <c r="F54" s="292">
        <v>14818</v>
      </c>
      <c r="G54" s="292">
        <v>0</v>
      </c>
      <c r="H54" s="292">
        <v>14818</v>
      </c>
      <c r="I54" s="292">
        <v>0</v>
      </c>
      <c r="J54" s="292">
        <v>0</v>
      </c>
      <c r="K54" s="292">
        <v>0</v>
      </c>
      <c r="L54" s="292">
        <v>14818</v>
      </c>
    </row>
    <row r="55" spans="1:12" ht="15" customHeight="1" x14ac:dyDescent="0.25">
      <c r="A55" s="224" t="s">
        <v>610</v>
      </c>
      <c r="B55" s="234" t="s">
        <v>140</v>
      </c>
      <c r="C55" s="5" t="s">
        <v>611</v>
      </c>
      <c r="D55" s="83">
        <v>293</v>
      </c>
      <c r="E55" s="83" t="s">
        <v>401</v>
      </c>
      <c r="F55" s="292">
        <v>9385</v>
      </c>
      <c r="G55" s="292">
        <v>0</v>
      </c>
      <c r="H55" s="292">
        <v>9385</v>
      </c>
      <c r="I55" s="292">
        <v>0</v>
      </c>
      <c r="J55" s="292">
        <v>0</v>
      </c>
      <c r="K55" s="292">
        <v>0</v>
      </c>
      <c r="L55" s="292">
        <v>9385</v>
      </c>
    </row>
    <row r="56" spans="1:12" ht="15" customHeight="1" x14ac:dyDescent="0.25">
      <c r="A56" s="224" t="s">
        <v>610</v>
      </c>
      <c r="B56" s="234" t="s">
        <v>140</v>
      </c>
      <c r="C56" s="5" t="s">
        <v>611</v>
      </c>
      <c r="D56" s="83">
        <v>293</v>
      </c>
      <c r="E56" s="83" t="s">
        <v>403</v>
      </c>
      <c r="F56" s="292">
        <v>10431</v>
      </c>
      <c r="G56" s="292">
        <v>0</v>
      </c>
      <c r="H56" s="292">
        <v>10431</v>
      </c>
      <c r="I56" s="292">
        <v>0</v>
      </c>
      <c r="J56" s="292">
        <v>0</v>
      </c>
      <c r="K56" s="292">
        <v>0</v>
      </c>
      <c r="L56" s="292">
        <v>10431</v>
      </c>
    </row>
    <row r="57" spans="1:12" ht="15" customHeight="1" x14ac:dyDescent="0.25">
      <c r="A57" s="224" t="s">
        <v>610</v>
      </c>
      <c r="B57" s="234" t="s">
        <v>140</v>
      </c>
      <c r="C57" s="5" t="s">
        <v>611</v>
      </c>
      <c r="D57" s="83">
        <v>293</v>
      </c>
      <c r="E57" s="83" t="s">
        <v>405</v>
      </c>
      <c r="F57" s="292">
        <v>12410</v>
      </c>
      <c r="G57" s="292">
        <v>0</v>
      </c>
      <c r="H57" s="292">
        <v>12410</v>
      </c>
      <c r="I57" s="292">
        <v>0</v>
      </c>
      <c r="J57" s="292">
        <v>0</v>
      </c>
      <c r="K57" s="292">
        <v>0</v>
      </c>
      <c r="L57" s="292">
        <v>12410</v>
      </c>
    </row>
    <row r="58" spans="1:12" x14ac:dyDescent="0.25">
      <c r="A58" s="224" t="s">
        <v>610</v>
      </c>
      <c r="B58" s="234" t="s">
        <v>140</v>
      </c>
      <c r="C58" s="5" t="s">
        <v>611</v>
      </c>
      <c r="D58" s="83">
        <v>293</v>
      </c>
      <c r="E58" s="83" t="s">
        <v>407</v>
      </c>
      <c r="F58" s="292">
        <v>15208</v>
      </c>
      <c r="G58" s="292">
        <v>0</v>
      </c>
      <c r="H58" s="292">
        <v>15208</v>
      </c>
      <c r="I58" s="292">
        <v>0</v>
      </c>
      <c r="J58" s="292">
        <v>0</v>
      </c>
      <c r="K58" s="292">
        <v>0</v>
      </c>
      <c r="L58" s="292">
        <v>15208</v>
      </c>
    </row>
    <row r="59" spans="1:12" x14ac:dyDescent="0.25">
      <c r="A59" s="224" t="s">
        <v>610</v>
      </c>
      <c r="B59" s="234" t="s">
        <v>140</v>
      </c>
      <c r="C59" s="5" t="s">
        <v>611</v>
      </c>
      <c r="D59" s="83">
        <v>293</v>
      </c>
      <c r="E59" s="83" t="s">
        <v>411</v>
      </c>
      <c r="F59" s="292">
        <v>13248</v>
      </c>
      <c r="G59" s="292">
        <v>0</v>
      </c>
      <c r="H59" s="292">
        <v>13248</v>
      </c>
      <c r="I59" s="292">
        <v>0</v>
      </c>
      <c r="J59" s="292">
        <v>0</v>
      </c>
      <c r="K59" s="292">
        <v>0</v>
      </c>
      <c r="L59" s="292">
        <v>13248</v>
      </c>
    </row>
    <row r="60" spans="1:12" x14ac:dyDescent="0.25">
      <c r="A60" s="202" t="s">
        <v>612</v>
      </c>
      <c r="B60" s="87" t="s">
        <v>140</v>
      </c>
      <c r="C60" s="87" t="s">
        <v>140</v>
      </c>
      <c r="D60" s="87" t="s">
        <v>140</v>
      </c>
      <c r="E60" s="87" t="s">
        <v>140</v>
      </c>
      <c r="F60" s="244">
        <f>SUBTOTAL(109,local293[Program
Costs])</f>
        <v>157256</v>
      </c>
      <c r="G60" s="244">
        <f>SUBTOTAL(109,local293[Less: Net Payments and Offsets])</f>
        <v>0</v>
      </c>
      <c r="H60" s="244">
        <f>SUBTOTAL(109,local293[Accounts Payable
Balance])</f>
        <v>157256</v>
      </c>
      <c r="I60" s="244">
        <f>SUBTOTAL(109,local293[Established
Accounts Receivable])</f>
        <v>0</v>
      </c>
      <c r="J60" s="244">
        <f>SUBTOTAL(109,local293[Less: Recovered Amount])</f>
        <v>0</v>
      </c>
      <c r="K60" s="244">
        <f>SUBTOTAL(109,local293[Accounts Receivable
Balance])</f>
        <v>0</v>
      </c>
      <c r="L60" s="244">
        <f>SUBTOTAL(109,local293[Net
Balance])</f>
        <v>157256</v>
      </c>
    </row>
    <row r="61" spans="1:12" x14ac:dyDescent="0.25">
      <c r="A61" s="235" t="s">
        <v>141</v>
      </c>
      <c r="B61" s="201"/>
      <c r="C61" s="5"/>
      <c r="D61" s="83"/>
      <c r="E61" s="83"/>
      <c r="F61" s="193"/>
      <c r="G61" s="193"/>
      <c r="H61" s="193"/>
      <c r="I61" s="193"/>
      <c r="J61" s="193"/>
      <c r="K61" s="193"/>
      <c r="L61" s="193"/>
    </row>
    <row r="62" spans="1:12" ht="45" customHeight="1" x14ac:dyDescent="0.25">
      <c r="A62" s="10" t="s">
        <v>6</v>
      </c>
      <c r="B62" s="55" t="s">
        <v>142</v>
      </c>
      <c r="C62" s="10" t="s">
        <v>0</v>
      </c>
      <c r="D62" s="10" t="s">
        <v>441</v>
      </c>
      <c r="E62" s="10" t="s">
        <v>5</v>
      </c>
      <c r="F62" s="215" t="s">
        <v>234</v>
      </c>
      <c r="G62" s="216" t="s">
        <v>235</v>
      </c>
      <c r="H62" s="215" t="s">
        <v>444</v>
      </c>
      <c r="I62" s="215" t="s">
        <v>445</v>
      </c>
      <c r="J62" s="215" t="s">
        <v>446</v>
      </c>
      <c r="K62" s="215" t="s">
        <v>447</v>
      </c>
      <c r="L62" s="215" t="s">
        <v>305</v>
      </c>
    </row>
    <row r="63" spans="1:12" x14ac:dyDescent="0.25">
      <c r="A63" s="224" t="s">
        <v>613</v>
      </c>
      <c r="B63" s="234" t="s">
        <v>140</v>
      </c>
      <c r="C63" s="5" t="s">
        <v>614</v>
      </c>
      <c r="D63" s="83">
        <v>321</v>
      </c>
      <c r="E63" s="83" t="s">
        <v>321</v>
      </c>
      <c r="F63" s="283">
        <v>8347668</v>
      </c>
      <c r="G63" s="292">
        <v>0</v>
      </c>
      <c r="H63" s="283">
        <v>8347668</v>
      </c>
      <c r="I63" s="292">
        <v>0</v>
      </c>
      <c r="J63" s="292">
        <v>0</v>
      </c>
      <c r="K63" s="292">
        <v>0</v>
      </c>
      <c r="L63" s="283">
        <v>8347668</v>
      </c>
    </row>
    <row r="64" spans="1:12" x14ac:dyDescent="0.25">
      <c r="A64" s="224" t="s">
        <v>613</v>
      </c>
      <c r="B64" s="234" t="s">
        <v>140</v>
      </c>
      <c r="C64" s="5" t="s">
        <v>614</v>
      </c>
      <c r="D64" s="83">
        <v>321</v>
      </c>
      <c r="E64" s="83" t="s">
        <v>323</v>
      </c>
      <c r="F64" s="283">
        <v>7383023</v>
      </c>
      <c r="G64" s="292">
        <v>0</v>
      </c>
      <c r="H64" s="283">
        <v>7383023</v>
      </c>
      <c r="I64" s="292">
        <v>0</v>
      </c>
      <c r="J64" s="292">
        <v>0</v>
      </c>
      <c r="K64" s="292">
        <v>0</v>
      </c>
      <c r="L64" s="283">
        <v>7383023</v>
      </c>
    </row>
    <row r="65" spans="1:12" x14ac:dyDescent="0.25">
      <c r="A65" s="224" t="s">
        <v>613</v>
      </c>
      <c r="B65" s="234" t="s">
        <v>140</v>
      </c>
      <c r="C65" s="5" t="s">
        <v>614</v>
      </c>
      <c r="D65" s="83">
        <v>321</v>
      </c>
      <c r="E65" s="83" t="s">
        <v>329</v>
      </c>
      <c r="F65" s="283">
        <v>6949711</v>
      </c>
      <c r="G65" s="292">
        <v>0</v>
      </c>
      <c r="H65" s="283">
        <v>6949711</v>
      </c>
      <c r="I65" s="292">
        <v>0</v>
      </c>
      <c r="J65" s="292">
        <v>0</v>
      </c>
      <c r="K65" s="292">
        <v>0</v>
      </c>
      <c r="L65" s="283">
        <v>6949711</v>
      </c>
    </row>
    <row r="66" spans="1:12" x14ac:dyDescent="0.25">
      <c r="A66" s="224" t="s">
        <v>613</v>
      </c>
      <c r="B66" s="234" t="s">
        <v>140</v>
      </c>
      <c r="C66" s="5" t="s">
        <v>614</v>
      </c>
      <c r="D66" s="83">
        <v>321</v>
      </c>
      <c r="E66" s="83" t="s">
        <v>343</v>
      </c>
      <c r="F66" s="283">
        <v>7005711</v>
      </c>
      <c r="G66" s="292">
        <v>0</v>
      </c>
      <c r="H66" s="283">
        <v>7005711</v>
      </c>
      <c r="I66" s="292">
        <v>0</v>
      </c>
      <c r="J66" s="292">
        <v>0</v>
      </c>
      <c r="K66" s="292">
        <v>0</v>
      </c>
      <c r="L66" s="283">
        <v>7005711</v>
      </c>
    </row>
    <row r="67" spans="1:12" x14ac:dyDescent="0.25">
      <c r="A67" s="224" t="s">
        <v>613</v>
      </c>
      <c r="B67" s="234" t="s">
        <v>140</v>
      </c>
      <c r="C67" s="5" t="s">
        <v>614</v>
      </c>
      <c r="D67" s="83">
        <v>321</v>
      </c>
      <c r="E67" s="83" t="s">
        <v>379</v>
      </c>
      <c r="F67" s="283">
        <v>7702197</v>
      </c>
      <c r="G67" s="292">
        <v>0</v>
      </c>
      <c r="H67" s="283">
        <v>7702197</v>
      </c>
      <c r="I67" s="292">
        <v>0</v>
      </c>
      <c r="J67" s="292">
        <v>0</v>
      </c>
      <c r="K67" s="292">
        <v>0</v>
      </c>
      <c r="L67" s="283">
        <v>7702197</v>
      </c>
    </row>
    <row r="68" spans="1:12" x14ac:dyDescent="0.25">
      <c r="A68" s="224" t="s">
        <v>613</v>
      </c>
      <c r="B68" s="234" t="s">
        <v>140</v>
      </c>
      <c r="C68" s="5" t="s">
        <v>614</v>
      </c>
      <c r="D68" s="83">
        <v>321</v>
      </c>
      <c r="E68" s="83" t="s">
        <v>391</v>
      </c>
      <c r="F68" s="283">
        <v>7117263</v>
      </c>
      <c r="G68" s="292">
        <v>0</v>
      </c>
      <c r="H68" s="283">
        <v>7117263</v>
      </c>
      <c r="I68" s="292">
        <v>0</v>
      </c>
      <c r="J68" s="292">
        <v>0</v>
      </c>
      <c r="K68" s="292">
        <v>0</v>
      </c>
      <c r="L68" s="283">
        <v>7117263</v>
      </c>
    </row>
    <row r="69" spans="1:12" x14ac:dyDescent="0.25">
      <c r="A69" s="224" t="s">
        <v>613</v>
      </c>
      <c r="B69" s="234" t="s">
        <v>140</v>
      </c>
      <c r="C69" s="5" t="s">
        <v>614</v>
      </c>
      <c r="D69" s="83">
        <v>321</v>
      </c>
      <c r="E69" s="83" t="s">
        <v>397</v>
      </c>
      <c r="F69" s="283">
        <v>6498076</v>
      </c>
      <c r="G69" s="292">
        <v>0</v>
      </c>
      <c r="H69" s="283">
        <v>6498076</v>
      </c>
      <c r="I69" s="292">
        <v>0</v>
      </c>
      <c r="J69" s="292">
        <v>0</v>
      </c>
      <c r="K69" s="292">
        <v>0</v>
      </c>
      <c r="L69" s="283">
        <v>6498076</v>
      </c>
    </row>
    <row r="70" spans="1:12" x14ac:dyDescent="0.25">
      <c r="A70" s="224" t="s">
        <v>613</v>
      </c>
      <c r="B70" s="234" t="s">
        <v>140</v>
      </c>
      <c r="C70" s="5" t="s">
        <v>614</v>
      </c>
      <c r="D70" s="83">
        <v>321</v>
      </c>
      <c r="E70" s="83" t="s">
        <v>399</v>
      </c>
      <c r="F70" s="283">
        <v>5200622</v>
      </c>
      <c r="G70" s="292">
        <v>0</v>
      </c>
      <c r="H70" s="283">
        <v>5200622</v>
      </c>
      <c r="I70" s="292">
        <v>0</v>
      </c>
      <c r="J70" s="292">
        <v>0</v>
      </c>
      <c r="K70" s="292">
        <v>0</v>
      </c>
      <c r="L70" s="283">
        <v>5200622</v>
      </c>
    </row>
    <row r="71" spans="1:12" x14ac:dyDescent="0.25">
      <c r="A71" s="224" t="s">
        <v>613</v>
      </c>
      <c r="B71" s="234" t="s">
        <v>140</v>
      </c>
      <c r="C71" s="5" t="s">
        <v>614</v>
      </c>
      <c r="D71" s="83">
        <v>321</v>
      </c>
      <c r="E71" s="83" t="s">
        <v>401</v>
      </c>
      <c r="F71" s="283">
        <v>4257269</v>
      </c>
      <c r="G71" s="292">
        <v>0</v>
      </c>
      <c r="H71" s="283">
        <v>4257269</v>
      </c>
      <c r="I71" s="292">
        <v>0</v>
      </c>
      <c r="J71" s="292">
        <v>0</v>
      </c>
      <c r="K71" s="292">
        <v>0</v>
      </c>
      <c r="L71" s="283">
        <v>4257269</v>
      </c>
    </row>
    <row r="72" spans="1:12" x14ac:dyDescent="0.25">
      <c r="A72" s="224" t="s">
        <v>613</v>
      </c>
      <c r="B72" s="234" t="s">
        <v>140</v>
      </c>
      <c r="C72" s="5" t="s">
        <v>614</v>
      </c>
      <c r="D72" s="83">
        <v>321</v>
      </c>
      <c r="E72" s="83" t="s">
        <v>403</v>
      </c>
      <c r="F72" s="283">
        <v>3347677</v>
      </c>
      <c r="G72" s="292">
        <v>0</v>
      </c>
      <c r="H72" s="283">
        <v>3347677</v>
      </c>
      <c r="I72" s="292">
        <v>0</v>
      </c>
      <c r="J72" s="292">
        <v>0</v>
      </c>
      <c r="K72" s="292">
        <v>0</v>
      </c>
      <c r="L72" s="283">
        <v>3347677</v>
      </c>
    </row>
    <row r="73" spans="1:12" x14ac:dyDescent="0.25">
      <c r="A73" s="224" t="s">
        <v>613</v>
      </c>
      <c r="B73" s="234" t="s">
        <v>140</v>
      </c>
      <c r="C73" s="5" t="s">
        <v>614</v>
      </c>
      <c r="D73" s="83">
        <v>321</v>
      </c>
      <c r="E73" s="83" t="s">
        <v>405</v>
      </c>
      <c r="F73" s="283">
        <v>3093045</v>
      </c>
      <c r="G73" s="292">
        <v>0</v>
      </c>
      <c r="H73" s="283">
        <v>3093045</v>
      </c>
      <c r="I73" s="292">
        <v>0</v>
      </c>
      <c r="J73" s="292">
        <v>0</v>
      </c>
      <c r="K73" s="292">
        <v>0</v>
      </c>
      <c r="L73" s="283">
        <v>3093045</v>
      </c>
    </row>
    <row r="74" spans="1:12" x14ac:dyDescent="0.25">
      <c r="A74" s="199" t="s">
        <v>615</v>
      </c>
      <c r="B74" s="200" t="s">
        <v>140</v>
      </c>
      <c r="C74" s="200" t="s">
        <v>140</v>
      </c>
      <c r="D74" s="200" t="s">
        <v>140</v>
      </c>
      <c r="E74" s="200" t="s">
        <v>140</v>
      </c>
      <c r="F74" s="293">
        <f>SUBTOTAL(109,local321[Program
Costs])</f>
        <v>66902262</v>
      </c>
      <c r="G74" s="293">
        <f>SUBTOTAL(109,local321[Less: Net Payments and Offsets])</f>
        <v>0</v>
      </c>
      <c r="H74" s="293">
        <f>SUBTOTAL(109,local321[Accounts Payable
Balance])</f>
        <v>66902262</v>
      </c>
      <c r="I74" s="293">
        <f>SUBTOTAL(109,local321[Established
Accounts Receivable])</f>
        <v>0</v>
      </c>
      <c r="J74" s="293">
        <f>SUBTOTAL(109,local321[Less: Recovered Amount])</f>
        <v>0</v>
      </c>
      <c r="K74" s="293">
        <f>SUBTOTAL(109,local321[Accounts Receivable
Balance])</f>
        <v>0</v>
      </c>
      <c r="L74" s="293">
        <f>SUBTOTAL(109,local321[Net
Balance])</f>
        <v>66902262</v>
      </c>
    </row>
    <row r="75" spans="1:12" x14ac:dyDescent="0.25">
      <c r="A75" s="235" t="s">
        <v>141</v>
      </c>
      <c r="B75" s="201"/>
      <c r="C75" s="5"/>
      <c r="D75" s="83"/>
      <c r="E75" s="83"/>
      <c r="F75" s="193"/>
      <c r="G75" s="193"/>
      <c r="H75" s="193"/>
      <c r="I75" s="193"/>
      <c r="J75" s="193"/>
      <c r="K75" s="193"/>
      <c r="L75" s="193"/>
    </row>
    <row r="76" spans="1:12" ht="45" customHeight="1" x14ac:dyDescent="0.25">
      <c r="A76" s="10" t="s">
        <v>6</v>
      </c>
      <c r="B76" s="55" t="s">
        <v>142</v>
      </c>
      <c r="C76" s="10" t="s">
        <v>0</v>
      </c>
      <c r="D76" s="10" t="s">
        <v>441</v>
      </c>
      <c r="E76" s="10" t="s">
        <v>5</v>
      </c>
      <c r="F76" s="215" t="s">
        <v>234</v>
      </c>
      <c r="G76" s="216" t="s">
        <v>235</v>
      </c>
      <c r="H76" s="215" t="s">
        <v>444</v>
      </c>
      <c r="I76" s="215" t="s">
        <v>445</v>
      </c>
      <c r="J76" s="215" t="s">
        <v>446</v>
      </c>
      <c r="K76" s="215" t="s">
        <v>447</v>
      </c>
      <c r="L76" s="215" t="s">
        <v>305</v>
      </c>
    </row>
    <row r="77" spans="1:12" x14ac:dyDescent="0.25">
      <c r="A77" s="224" t="s">
        <v>616</v>
      </c>
      <c r="B77" s="234" t="s">
        <v>140</v>
      </c>
      <c r="C77" s="5" t="s">
        <v>617</v>
      </c>
      <c r="D77" s="83">
        <v>358</v>
      </c>
      <c r="E77" s="83" t="s">
        <v>317</v>
      </c>
      <c r="F77" s="292">
        <v>1078586</v>
      </c>
      <c r="G77" s="292">
        <v>0</v>
      </c>
      <c r="H77" s="292">
        <v>1078586</v>
      </c>
      <c r="I77" s="292">
        <v>0</v>
      </c>
      <c r="J77" s="292">
        <v>0</v>
      </c>
      <c r="K77" s="292">
        <v>0</v>
      </c>
      <c r="L77" s="292">
        <v>1078586</v>
      </c>
    </row>
    <row r="78" spans="1:12" x14ac:dyDescent="0.25">
      <c r="A78" s="224" t="s">
        <v>616</v>
      </c>
      <c r="B78" s="234" t="s">
        <v>140</v>
      </c>
      <c r="C78" s="5" t="s">
        <v>617</v>
      </c>
      <c r="D78" s="83">
        <v>358</v>
      </c>
      <c r="E78" s="83" t="s">
        <v>319</v>
      </c>
      <c r="F78" s="292">
        <v>1459714</v>
      </c>
      <c r="G78" s="292">
        <v>0</v>
      </c>
      <c r="H78" s="292">
        <v>1459714</v>
      </c>
      <c r="I78" s="292">
        <v>0</v>
      </c>
      <c r="J78" s="292">
        <v>0</v>
      </c>
      <c r="K78" s="292">
        <v>0</v>
      </c>
      <c r="L78" s="292">
        <v>1459714</v>
      </c>
    </row>
    <row r="79" spans="1:12" x14ac:dyDescent="0.25">
      <c r="A79" s="224" t="s">
        <v>616</v>
      </c>
      <c r="B79" s="234" t="s">
        <v>140</v>
      </c>
      <c r="C79" s="5" t="s">
        <v>617</v>
      </c>
      <c r="D79" s="83">
        <v>358</v>
      </c>
      <c r="E79" s="83" t="s">
        <v>321</v>
      </c>
      <c r="F79" s="292">
        <v>1235536</v>
      </c>
      <c r="G79" s="292">
        <v>0</v>
      </c>
      <c r="H79" s="292">
        <v>1235536</v>
      </c>
      <c r="I79" s="292">
        <v>0</v>
      </c>
      <c r="J79" s="292">
        <v>0</v>
      </c>
      <c r="K79" s="292">
        <v>0</v>
      </c>
      <c r="L79" s="292">
        <v>1235536</v>
      </c>
    </row>
    <row r="80" spans="1:12" x14ac:dyDescent="0.25">
      <c r="A80" s="224" t="s">
        <v>616</v>
      </c>
      <c r="B80" s="234" t="s">
        <v>140</v>
      </c>
      <c r="C80" s="5" t="s">
        <v>617</v>
      </c>
      <c r="D80" s="83">
        <v>358</v>
      </c>
      <c r="E80" s="83" t="s">
        <v>323</v>
      </c>
      <c r="F80" s="292">
        <v>3939475</v>
      </c>
      <c r="G80" s="292">
        <v>0</v>
      </c>
      <c r="H80" s="292">
        <v>3939475</v>
      </c>
      <c r="I80" s="292">
        <v>0</v>
      </c>
      <c r="J80" s="292">
        <v>0</v>
      </c>
      <c r="K80" s="292">
        <v>0</v>
      </c>
      <c r="L80" s="292">
        <v>3939475</v>
      </c>
    </row>
    <row r="81" spans="1:12" x14ac:dyDescent="0.25">
      <c r="A81" s="224" t="s">
        <v>616</v>
      </c>
      <c r="B81" s="234" t="s">
        <v>140</v>
      </c>
      <c r="C81" s="5" t="s">
        <v>617</v>
      </c>
      <c r="D81" s="83">
        <v>358</v>
      </c>
      <c r="E81" s="83" t="s">
        <v>329</v>
      </c>
      <c r="F81" s="292">
        <v>7218556</v>
      </c>
      <c r="G81" s="292">
        <v>0</v>
      </c>
      <c r="H81" s="292">
        <v>7218556</v>
      </c>
      <c r="I81" s="292">
        <v>0</v>
      </c>
      <c r="J81" s="292">
        <v>0</v>
      </c>
      <c r="K81" s="292">
        <v>0</v>
      </c>
      <c r="L81" s="292">
        <v>7218556</v>
      </c>
    </row>
    <row r="82" spans="1:12" x14ac:dyDescent="0.25">
      <c r="A82" s="224" t="s">
        <v>616</v>
      </c>
      <c r="B82" s="234" t="s">
        <v>140</v>
      </c>
      <c r="C82" s="5" t="s">
        <v>617</v>
      </c>
      <c r="D82" s="83">
        <v>358</v>
      </c>
      <c r="E82" s="83" t="s">
        <v>343</v>
      </c>
      <c r="F82" s="292">
        <v>7015470</v>
      </c>
      <c r="G82" s="292">
        <v>0</v>
      </c>
      <c r="H82" s="292">
        <v>7015470</v>
      </c>
      <c r="I82" s="292">
        <v>0</v>
      </c>
      <c r="J82" s="292">
        <v>0</v>
      </c>
      <c r="K82" s="292">
        <v>0</v>
      </c>
      <c r="L82" s="292">
        <v>7015470</v>
      </c>
    </row>
    <row r="83" spans="1:12" x14ac:dyDescent="0.25">
      <c r="A83" s="224" t="s">
        <v>616</v>
      </c>
      <c r="B83" s="234" t="s">
        <v>140</v>
      </c>
      <c r="C83" s="5" t="s">
        <v>617</v>
      </c>
      <c r="D83" s="83">
        <v>358</v>
      </c>
      <c r="E83" s="83" t="s">
        <v>379</v>
      </c>
      <c r="F83" s="292">
        <v>5667286</v>
      </c>
      <c r="G83" s="292">
        <v>0</v>
      </c>
      <c r="H83" s="292">
        <v>5667286</v>
      </c>
      <c r="I83" s="292">
        <v>0</v>
      </c>
      <c r="J83" s="292">
        <v>0</v>
      </c>
      <c r="K83" s="292">
        <v>0</v>
      </c>
      <c r="L83" s="292">
        <v>5667286</v>
      </c>
    </row>
    <row r="84" spans="1:12" x14ac:dyDescent="0.25">
      <c r="A84" s="224" t="s">
        <v>616</v>
      </c>
      <c r="B84" s="234" t="s">
        <v>140</v>
      </c>
      <c r="C84" s="5" t="s">
        <v>617</v>
      </c>
      <c r="D84" s="83">
        <v>358</v>
      </c>
      <c r="E84" s="83" t="s">
        <v>391</v>
      </c>
      <c r="F84" s="292">
        <v>5031327</v>
      </c>
      <c r="G84" s="292">
        <v>0</v>
      </c>
      <c r="H84" s="292">
        <v>5031327</v>
      </c>
      <c r="I84" s="292">
        <v>0</v>
      </c>
      <c r="J84" s="292">
        <v>0</v>
      </c>
      <c r="K84" s="292">
        <v>0</v>
      </c>
      <c r="L84" s="292">
        <v>5031327</v>
      </c>
    </row>
    <row r="85" spans="1:12" x14ac:dyDescent="0.25">
      <c r="A85" s="224" t="s">
        <v>616</v>
      </c>
      <c r="B85" s="234" t="s">
        <v>140</v>
      </c>
      <c r="C85" s="5" t="s">
        <v>617</v>
      </c>
      <c r="D85" s="83">
        <v>358</v>
      </c>
      <c r="E85" s="83" t="s">
        <v>397</v>
      </c>
      <c r="F85" s="292">
        <v>4489524</v>
      </c>
      <c r="G85" s="292">
        <v>0</v>
      </c>
      <c r="H85" s="292">
        <v>4489524</v>
      </c>
      <c r="I85" s="292">
        <v>0</v>
      </c>
      <c r="J85" s="292">
        <v>0</v>
      </c>
      <c r="K85" s="292">
        <v>0</v>
      </c>
      <c r="L85" s="292">
        <v>4489524</v>
      </c>
    </row>
    <row r="86" spans="1:12" x14ac:dyDescent="0.25">
      <c r="A86" s="224" t="s">
        <v>616</v>
      </c>
      <c r="B86" s="234" t="s">
        <v>140</v>
      </c>
      <c r="C86" s="5" t="s">
        <v>617</v>
      </c>
      <c r="D86" s="83">
        <v>358</v>
      </c>
      <c r="E86" s="83" t="s">
        <v>399</v>
      </c>
      <c r="F86" s="292">
        <v>4188945</v>
      </c>
      <c r="G86" s="292">
        <v>0</v>
      </c>
      <c r="H86" s="292">
        <v>4188945</v>
      </c>
      <c r="I86" s="292">
        <v>0</v>
      </c>
      <c r="J86" s="292">
        <v>0</v>
      </c>
      <c r="K86" s="292">
        <v>0</v>
      </c>
      <c r="L86" s="292">
        <v>4188945</v>
      </c>
    </row>
    <row r="87" spans="1:12" x14ac:dyDescent="0.25">
      <c r="A87" s="224" t="s">
        <v>616</v>
      </c>
      <c r="B87" s="234" t="s">
        <v>140</v>
      </c>
      <c r="C87" s="5" t="s">
        <v>617</v>
      </c>
      <c r="D87" s="83">
        <v>358</v>
      </c>
      <c r="E87" s="83" t="s">
        <v>401</v>
      </c>
      <c r="F87" s="292">
        <v>4009240</v>
      </c>
      <c r="G87" s="292">
        <v>0</v>
      </c>
      <c r="H87" s="292">
        <v>4009240</v>
      </c>
      <c r="I87" s="292">
        <v>0</v>
      </c>
      <c r="J87" s="292">
        <v>0</v>
      </c>
      <c r="K87" s="292">
        <v>0</v>
      </c>
      <c r="L87" s="292">
        <v>4009240</v>
      </c>
    </row>
    <row r="88" spans="1:12" x14ac:dyDescent="0.25">
      <c r="A88" s="224" t="s">
        <v>616</v>
      </c>
      <c r="B88" s="234" t="s">
        <v>140</v>
      </c>
      <c r="C88" s="5" t="s">
        <v>617</v>
      </c>
      <c r="D88" s="83">
        <v>358</v>
      </c>
      <c r="E88" s="83" t="s">
        <v>403</v>
      </c>
      <c r="F88" s="292">
        <v>3716419</v>
      </c>
      <c r="G88" s="292">
        <v>0</v>
      </c>
      <c r="H88" s="292">
        <v>3716419</v>
      </c>
      <c r="I88" s="292">
        <v>0</v>
      </c>
      <c r="J88" s="292">
        <v>0</v>
      </c>
      <c r="K88" s="292">
        <v>0</v>
      </c>
      <c r="L88" s="292">
        <v>3716419</v>
      </c>
    </row>
    <row r="89" spans="1:12" x14ac:dyDescent="0.25">
      <c r="A89" s="224" t="s">
        <v>616</v>
      </c>
      <c r="B89" s="234" t="s">
        <v>140</v>
      </c>
      <c r="C89" s="5" t="s">
        <v>617</v>
      </c>
      <c r="D89" s="83">
        <v>358</v>
      </c>
      <c r="E89" s="83" t="s">
        <v>405</v>
      </c>
      <c r="F89" s="292">
        <v>3361804</v>
      </c>
      <c r="G89" s="292">
        <v>0</v>
      </c>
      <c r="H89" s="292">
        <v>3361804</v>
      </c>
      <c r="I89" s="292">
        <v>0</v>
      </c>
      <c r="J89" s="292">
        <v>0</v>
      </c>
      <c r="K89" s="292">
        <v>0</v>
      </c>
      <c r="L89" s="292">
        <v>3361804</v>
      </c>
    </row>
    <row r="90" spans="1:12" x14ac:dyDescent="0.25">
      <c r="A90" s="224" t="s">
        <v>616</v>
      </c>
      <c r="B90" s="234" t="s">
        <v>140</v>
      </c>
      <c r="C90" s="5" t="s">
        <v>617</v>
      </c>
      <c r="D90" s="83">
        <v>358</v>
      </c>
      <c r="E90" s="83" t="s">
        <v>407</v>
      </c>
      <c r="F90" s="292">
        <v>3002529</v>
      </c>
      <c r="G90" s="292">
        <v>0</v>
      </c>
      <c r="H90" s="292">
        <v>3002529</v>
      </c>
      <c r="I90" s="292">
        <v>0</v>
      </c>
      <c r="J90" s="292">
        <v>0</v>
      </c>
      <c r="K90" s="292">
        <v>0</v>
      </c>
      <c r="L90" s="292">
        <v>3002529</v>
      </c>
    </row>
    <row r="91" spans="1:12" x14ac:dyDescent="0.25">
      <c r="A91" s="224" t="s">
        <v>616</v>
      </c>
      <c r="B91" s="234" t="s">
        <v>140</v>
      </c>
      <c r="C91" s="5" t="s">
        <v>617</v>
      </c>
      <c r="D91" s="83">
        <v>358</v>
      </c>
      <c r="E91" s="83" t="s">
        <v>411</v>
      </c>
      <c r="F91" s="292">
        <v>2845338</v>
      </c>
      <c r="G91" s="292">
        <v>0</v>
      </c>
      <c r="H91" s="292">
        <v>2845338</v>
      </c>
      <c r="I91" s="292">
        <v>0</v>
      </c>
      <c r="J91" s="292">
        <v>0</v>
      </c>
      <c r="K91" s="292">
        <v>0</v>
      </c>
      <c r="L91" s="292">
        <v>2845338</v>
      </c>
    </row>
    <row r="92" spans="1:12" x14ac:dyDescent="0.25">
      <c r="A92" s="224" t="s">
        <v>616</v>
      </c>
      <c r="B92" s="234" t="s">
        <v>140</v>
      </c>
      <c r="C92" s="5" t="s">
        <v>617</v>
      </c>
      <c r="D92" s="83">
        <v>358</v>
      </c>
      <c r="E92" s="83" t="s">
        <v>413</v>
      </c>
      <c r="F92" s="292">
        <v>2607566</v>
      </c>
      <c r="G92" s="292">
        <v>0</v>
      </c>
      <c r="H92" s="292">
        <v>2607566</v>
      </c>
      <c r="I92" s="292">
        <v>0</v>
      </c>
      <c r="J92" s="292">
        <v>0</v>
      </c>
      <c r="K92" s="292">
        <v>0</v>
      </c>
      <c r="L92" s="292">
        <v>2607566</v>
      </c>
    </row>
    <row r="93" spans="1:12" x14ac:dyDescent="0.25">
      <c r="A93" s="202" t="s">
        <v>618</v>
      </c>
      <c r="B93" s="87" t="s">
        <v>140</v>
      </c>
      <c r="C93" s="87" t="s">
        <v>140</v>
      </c>
      <c r="D93" s="87" t="s">
        <v>140</v>
      </c>
      <c r="E93" s="87" t="s">
        <v>140</v>
      </c>
      <c r="F93" s="244">
        <f>SUBTOTAL(109,local358[Program
Costs])</f>
        <v>60867315</v>
      </c>
      <c r="G93" s="244">
        <f>SUBTOTAL(109,local358[Less: Net Payments and Offsets])</f>
        <v>0</v>
      </c>
      <c r="H93" s="244">
        <f>SUBTOTAL(109,local358[Accounts Payable
Balance])</f>
        <v>60867315</v>
      </c>
      <c r="I93" s="244">
        <f>SUBTOTAL(109,local358[Established
Accounts Receivable])</f>
        <v>0</v>
      </c>
      <c r="J93" s="244">
        <f>SUBTOTAL(109,local358[Less: Recovered Amount])</f>
        <v>0</v>
      </c>
      <c r="K93" s="244">
        <f>SUBTOTAL(109,local358[Accounts Receivable
Balance])</f>
        <v>0</v>
      </c>
      <c r="L93" s="244">
        <f>SUBTOTAL(109,local358[Net
Balance])</f>
        <v>60867315</v>
      </c>
    </row>
    <row r="94" spans="1:12" x14ac:dyDescent="0.25">
      <c r="A94" s="235" t="s">
        <v>141</v>
      </c>
      <c r="B94" s="201"/>
      <c r="C94" s="5"/>
      <c r="D94" s="83"/>
      <c r="E94" s="83"/>
      <c r="F94" s="193"/>
      <c r="G94" s="193"/>
      <c r="H94" s="193"/>
      <c r="I94" s="193"/>
      <c r="J94" s="193"/>
      <c r="K94" s="193"/>
      <c r="L94" s="193"/>
    </row>
    <row r="95" spans="1:12" ht="45" customHeight="1" x14ac:dyDescent="0.25">
      <c r="A95" s="10" t="s">
        <v>6</v>
      </c>
      <c r="B95" s="55" t="s">
        <v>142</v>
      </c>
      <c r="C95" s="10" t="s">
        <v>0</v>
      </c>
      <c r="D95" s="10" t="s">
        <v>441</v>
      </c>
      <c r="E95" s="10" t="s">
        <v>5</v>
      </c>
      <c r="F95" s="215" t="s">
        <v>234</v>
      </c>
      <c r="G95" s="216" t="s">
        <v>235</v>
      </c>
      <c r="H95" s="215" t="s">
        <v>444</v>
      </c>
      <c r="I95" s="215" t="s">
        <v>445</v>
      </c>
      <c r="J95" s="215" t="s">
        <v>446</v>
      </c>
      <c r="K95" s="215" t="s">
        <v>447</v>
      </c>
      <c r="L95" s="215" t="s">
        <v>305</v>
      </c>
    </row>
    <row r="96" spans="1:12" x14ac:dyDescent="0.25">
      <c r="A96" s="224" t="s">
        <v>619</v>
      </c>
      <c r="B96" s="234" t="s">
        <v>140</v>
      </c>
      <c r="C96" s="5" t="s">
        <v>620</v>
      </c>
      <c r="D96" s="83">
        <v>259</v>
      </c>
      <c r="E96" s="83" t="s">
        <v>323</v>
      </c>
      <c r="F96" s="292">
        <v>1840</v>
      </c>
      <c r="G96" s="292">
        <v>0</v>
      </c>
      <c r="H96" s="292">
        <v>1840</v>
      </c>
      <c r="I96" s="292">
        <v>0</v>
      </c>
      <c r="J96" s="292">
        <v>0</v>
      </c>
      <c r="K96" s="292">
        <v>0</v>
      </c>
      <c r="L96" s="292">
        <v>1840</v>
      </c>
    </row>
    <row r="97" spans="1:12" x14ac:dyDescent="0.25">
      <c r="A97" s="224" t="s">
        <v>619</v>
      </c>
      <c r="B97" s="234" t="s">
        <v>140</v>
      </c>
      <c r="C97" s="5" t="s">
        <v>620</v>
      </c>
      <c r="D97" s="83">
        <v>259</v>
      </c>
      <c r="E97" s="83" t="s">
        <v>329</v>
      </c>
      <c r="F97" s="292">
        <v>3550</v>
      </c>
      <c r="G97" s="292">
        <v>0</v>
      </c>
      <c r="H97" s="292">
        <v>3550</v>
      </c>
      <c r="I97" s="292">
        <v>0</v>
      </c>
      <c r="J97" s="292">
        <v>0</v>
      </c>
      <c r="K97" s="292">
        <v>0</v>
      </c>
      <c r="L97" s="292">
        <v>3550</v>
      </c>
    </row>
    <row r="98" spans="1:12" x14ac:dyDescent="0.25">
      <c r="A98" s="202" t="s">
        <v>621</v>
      </c>
      <c r="B98" s="87" t="s">
        <v>140</v>
      </c>
      <c r="C98" s="87" t="s">
        <v>140</v>
      </c>
      <c r="D98" s="87" t="s">
        <v>140</v>
      </c>
      <c r="E98" s="87" t="s">
        <v>140</v>
      </c>
      <c r="F98" s="244">
        <f>SUBTOTAL(109,local259[Program
Costs])</f>
        <v>5390</v>
      </c>
      <c r="G98" s="244">
        <f>SUBTOTAL(109,local259[Less: Net Payments and Offsets])</f>
        <v>0</v>
      </c>
      <c r="H98" s="244">
        <f>SUBTOTAL(109,local259[Accounts Payable
Balance])</f>
        <v>5390</v>
      </c>
      <c r="I98" s="244">
        <f>SUBTOTAL(109,local259[Established
Accounts Receivable])</f>
        <v>0</v>
      </c>
      <c r="J98" s="244">
        <f>SUBTOTAL(109,local259[Less: Recovered Amount])</f>
        <v>0</v>
      </c>
      <c r="K98" s="244">
        <f>SUBTOTAL(109,local259[Accounts Receivable
Balance])</f>
        <v>0</v>
      </c>
      <c r="L98" s="244">
        <f>SUBTOTAL(109,local259[Net
Balance])</f>
        <v>5390</v>
      </c>
    </row>
    <row r="99" spans="1:12" x14ac:dyDescent="0.25">
      <c r="A99" s="235" t="s">
        <v>141</v>
      </c>
      <c r="B99" s="201"/>
      <c r="C99" s="5"/>
      <c r="D99" s="83"/>
      <c r="E99" s="83"/>
      <c r="F99" s="193"/>
      <c r="G99" s="193"/>
      <c r="H99" s="193"/>
      <c r="I99" s="193"/>
      <c r="J99" s="193"/>
      <c r="K99" s="193"/>
      <c r="L99" s="193"/>
    </row>
    <row r="100" spans="1:12" ht="45" customHeight="1" x14ac:dyDescent="0.25">
      <c r="A100" s="10" t="s">
        <v>6</v>
      </c>
      <c r="B100" s="55" t="s">
        <v>142</v>
      </c>
      <c r="C100" s="10" t="s">
        <v>0</v>
      </c>
      <c r="D100" s="10" t="s">
        <v>441</v>
      </c>
      <c r="E100" s="10" t="s">
        <v>5</v>
      </c>
      <c r="F100" s="215" t="s">
        <v>234</v>
      </c>
      <c r="G100" s="216" t="s">
        <v>235</v>
      </c>
      <c r="H100" s="215" t="s">
        <v>444</v>
      </c>
      <c r="I100" s="215" t="s">
        <v>445</v>
      </c>
      <c r="J100" s="215" t="s">
        <v>446</v>
      </c>
      <c r="K100" s="215" t="s">
        <v>447</v>
      </c>
      <c r="L100" s="215" t="s">
        <v>305</v>
      </c>
    </row>
    <row r="101" spans="1:12" x14ac:dyDescent="0.25">
      <c r="A101" s="224" t="s">
        <v>622</v>
      </c>
      <c r="B101" s="234" t="s">
        <v>140</v>
      </c>
      <c r="C101" s="5" t="s">
        <v>623</v>
      </c>
      <c r="D101" s="83">
        <v>298</v>
      </c>
      <c r="E101" s="83" t="s">
        <v>217</v>
      </c>
      <c r="F101" s="283">
        <v>2190920</v>
      </c>
      <c r="G101" s="292">
        <v>0</v>
      </c>
      <c r="H101" s="283">
        <v>2190920</v>
      </c>
      <c r="I101" s="292">
        <v>0</v>
      </c>
      <c r="J101" s="292">
        <v>0</v>
      </c>
      <c r="K101" s="292">
        <v>0</v>
      </c>
      <c r="L101" s="283">
        <v>2190920</v>
      </c>
    </row>
    <row r="102" spans="1:12" x14ac:dyDescent="0.25">
      <c r="A102" s="224" t="s">
        <v>622</v>
      </c>
      <c r="B102" s="236"/>
      <c r="C102" s="5" t="s">
        <v>623</v>
      </c>
      <c r="D102" s="83">
        <v>298</v>
      </c>
      <c r="E102" s="83" t="s">
        <v>96</v>
      </c>
      <c r="F102" s="283">
        <v>1909081</v>
      </c>
      <c r="G102" s="294">
        <v>0</v>
      </c>
      <c r="H102" s="283">
        <v>1909081</v>
      </c>
      <c r="I102" s="294">
        <v>0</v>
      </c>
      <c r="J102" s="294">
        <v>0</v>
      </c>
      <c r="K102" s="294">
        <v>0</v>
      </c>
      <c r="L102" s="283">
        <v>1909081</v>
      </c>
    </row>
    <row r="103" spans="1:12" x14ac:dyDescent="0.25">
      <c r="A103" s="224" t="s">
        <v>622</v>
      </c>
      <c r="B103" s="234" t="s">
        <v>140</v>
      </c>
      <c r="C103" s="5" t="s">
        <v>623</v>
      </c>
      <c r="D103" s="83">
        <v>298</v>
      </c>
      <c r="E103" s="83" t="s">
        <v>46</v>
      </c>
      <c r="F103" s="283">
        <v>1645132</v>
      </c>
      <c r="G103" s="292">
        <v>0</v>
      </c>
      <c r="H103" s="283">
        <v>1645132</v>
      </c>
      <c r="I103" s="292">
        <v>0</v>
      </c>
      <c r="J103" s="292">
        <v>0</v>
      </c>
      <c r="K103" s="292">
        <v>0</v>
      </c>
      <c r="L103" s="283">
        <v>1645132</v>
      </c>
    </row>
    <row r="104" spans="1:12" x14ac:dyDescent="0.25">
      <c r="A104" s="224" t="s">
        <v>622</v>
      </c>
      <c r="B104" s="234" t="s">
        <v>140</v>
      </c>
      <c r="C104" s="5" t="s">
        <v>623</v>
      </c>
      <c r="D104" s="83">
        <v>298</v>
      </c>
      <c r="E104" s="83" t="s">
        <v>2</v>
      </c>
      <c r="F104" s="283">
        <v>1718804</v>
      </c>
      <c r="G104" s="292">
        <v>0</v>
      </c>
      <c r="H104" s="283">
        <v>1718804</v>
      </c>
      <c r="I104" s="292">
        <v>0</v>
      </c>
      <c r="J104" s="292">
        <v>0</v>
      </c>
      <c r="K104" s="292">
        <v>0</v>
      </c>
      <c r="L104" s="283">
        <v>1718804</v>
      </c>
    </row>
    <row r="105" spans="1:12" x14ac:dyDescent="0.25">
      <c r="A105" s="224" t="s">
        <v>622</v>
      </c>
      <c r="B105" s="234" t="s">
        <v>140</v>
      </c>
      <c r="C105" s="5" t="s">
        <v>623</v>
      </c>
      <c r="D105" s="83">
        <v>298</v>
      </c>
      <c r="E105" s="83" t="s">
        <v>3</v>
      </c>
      <c r="F105" s="283">
        <v>1484786</v>
      </c>
      <c r="G105" s="292">
        <v>0</v>
      </c>
      <c r="H105" s="283">
        <v>1484786</v>
      </c>
      <c r="I105" s="292">
        <v>0</v>
      </c>
      <c r="J105" s="292">
        <v>0</v>
      </c>
      <c r="K105" s="292">
        <v>0</v>
      </c>
      <c r="L105" s="283">
        <v>1484786</v>
      </c>
    </row>
    <row r="106" spans="1:12" x14ac:dyDescent="0.25">
      <c r="A106" s="224" t="s">
        <v>622</v>
      </c>
      <c r="B106" s="234" t="s">
        <v>140</v>
      </c>
      <c r="C106" s="5" t="s">
        <v>623</v>
      </c>
      <c r="D106" s="83">
        <v>298</v>
      </c>
      <c r="E106" s="83" t="s">
        <v>48</v>
      </c>
      <c r="F106" s="283">
        <v>1416419</v>
      </c>
      <c r="G106" s="292">
        <v>0</v>
      </c>
      <c r="H106" s="283">
        <v>1416419</v>
      </c>
      <c r="I106" s="292">
        <v>0</v>
      </c>
      <c r="J106" s="292">
        <v>0</v>
      </c>
      <c r="K106" s="292">
        <v>0</v>
      </c>
      <c r="L106" s="283">
        <v>1416419</v>
      </c>
    </row>
    <row r="107" spans="1:12" x14ac:dyDescent="0.25">
      <c r="A107" s="224" t="s">
        <v>622</v>
      </c>
      <c r="B107" s="234" t="s">
        <v>140</v>
      </c>
      <c r="C107" s="5" t="s">
        <v>623</v>
      </c>
      <c r="D107" s="83">
        <v>298</v>
      </c>
      <c r="E107" s="83" t="s">
        <v>315</v>
      </c>
      <c r="F107" s="283">
        <v>1726995</v>
      </c>
      <c r="G107" s="292">
        <v>0</v>
      </c>
      <c r="H107" s="283">
        <v>1726995</v>
      </c>
      <c r="I107" s="292">
        <v>0</v>
      </c>
      <c r="J107" s="292">
        <v>0</v>
      </c>
      <c r="K107" s="292">
        <v>0</v>
      </c>
      <c r="L107" s="283">
        <v>1726995</v>
      </c>
    </row>
    <row r="108" spans="1:12" x14ac:dyDescent="0.25">
      <c r="A108" s="224" t="s">
        <v>622</v>
      </c>
      <c r="B108" s="234" t="s">
        <v>140</v>
      </c>
      <c r="C108" s="5" t="s">
        <v>623</v>
      </c>
      <c r="D108" s="83">
        <v>298</v>
      </c>
      <c r="E108" s="83" t="s">
        <v>317</v>
      </c>
      <c r="F108" s="283">
        <v>1662687</v>
      </c>
      <c r="G108" s="292">
        <v>0</v>
      </c>
      <c r="H108" s="283">
        <v>1662687</v>
      </c>
      <c r="I108" s="292">
        <v>0</v>
      </c>
      <c r="J108" s="292">
        <v>0</v>
      </c>
      <c r="K108" s="292">
        <v>0</v>
      </c>
      <c r="L108" s="283">
        <v>1662687</v>
      </c>
    </row>
    <row r="109" spans="1:12" x14ac:dyDescent="0.25">
      <c r="A109" s="224" t="s">
        <v>622</v>
      </c>
      <c r="B109" s="234" t="s">
        <v>140</v>
      </c>
      <c r="C109" s="5" t="s">
        <v>623</v>
      </c>
      <c r="D109" s="83">
        <v>298</v>
      </c>
      <c r="E109" s="83" t="s">
        <v>319</v>
      </c>
      <c r="F109" s="283">
        <v>2324012</v>
      </c>
      <c r="G109" s="292">
        <v>0</v>
      </c>
      <c r="H109" s="283">
        <v>2324012</v>
      </c>
      <c r="I109" s="292">
        <v>0</v>
      </c>
      <c r="J109" s="292">
        <v>0</v>
      </c>
      <c r="K109" s="292">
        <v>0</v>
      </c>
      <c r="L109" s="283">
        <v>2324012</v>
      </c>
    </row>
    <row r="110" spans="1:12" x14ac:dyDescent="0.25">
      <c r="A110" s="224" t="s">
        <v>622</v>
      </c>
      <c r="B110" s="234" t="s">
        <v>140</v>
      </c>
      <c r="C110" s="5" t="s">
        <v>623</v>
      </c>
      <c r="D110" s="83">
        <v>298</v>
      </c>
      <c r="E110" s="83" t="s">
        <v>321</v>
      </c>
      <c r="F110" s="283">
        <v>1932028</v>
      </c>
      <c r="G110" s="292">
        <v>0</v>
      </c>
      <c r="H110" s="283">
        <v>1932028</v>
      </c>
      <c r="I110" s="292">
        <v>0</v>
      </c>
      <c r="J110" s="292">
        <v>0</v>
      </c>
      <c r="K110" s="292">
        <v>0</v>
      </c>
      <c r="L110" s="283">
        <v>1932028</v>
      </c>
    </row>
    <row r="111" spans="1:12" x14ac:dyDescent="0.25">
      <c r="A111" s="224" t="s">
        <v>622</v>
      </c>
      <c r="B111" s="234" t="s">
        <v>140</v>
      </c>
      <c r="C111" s="5" t="s">
        <v>623</v>
      </c>
      <c r="D111" s="83">
        <v>298</v>
      </c>
      <c r="E111" s="83" t="s">
        <v>323</v>
      </c>
      <c r="F111" s="283">
        <v>1436215</v>
      </c>
      <c r="G111" s="292">
        <v>0</v>
      </c>
      <c r="H111" s="283">
        <v>1436215</v>
      </c>
      <c r="I111" s="292">
        <v>0</v>
      </c>
      <c r="J111" s="292">
        <v>0</v>
      </c>
      <c r="K111" s="292">
        <v>0</v>
      </c>
      <c r="L111" s="283">
        <v>1436215</v>
      </c>
    </row>
    <row r="112" spans="1:12" x14ac:dyDescent="0.25">
      <c r="A112" s="224" t="s">
        <v>622</v>
      </c>
      <c r="B112" s="234" t="s">
        <v>140</v>
      </c>
      <c r="C112" s="5" t="s">
        <v>623</v>
      </c>
      <c r="D112" s="83">
        <v>298</v>
      </c>
      <c r="E112" s="83" t="s">
        <v>329</v>
      </c>
      <c r="F112" s="283">
        <v>1138086</v>
      </c>
      <c r="G112" s="292">
        <v>0</v>
      </c>
      <c r="H112" s="283">
        <v>1138086</v>
      </c>
      <c r="I112" s="292">
        <v>0</v>
      </c>
      <c r="J112" s="292">
        <v>0</v>
      </c>
      <c r="K112" s="292">
        <v>0</v>
      </c>
      <c r="L112" s="283">
        <v>1138086</v>
      </c>
    </row>
    <row r="113" spans="1:12" x14ac:dyDescent="0.25">
      <c r="A113" s="224" t="s">
        <v>622</v>
      </c>
      <c r="B113" s="234" t="s">
        <v>140</v>
      </c>
      <c r="C113" s="5" t="s">
        <v>623</v>
      </c>
      <c r="D113" s="83">
        <v>298</v>
      </c>
      <c r="E113" s="83" t="s">
        <v>343</v>
      </c>
      <c r="F113" s="283">
        <v>696362</v>
      </c>
      <c r="G113" s="292">
        <v>0</v>
      </c>
      <c r="H113" s="283">
        <v>696362</v>
      </c>
      <c r="I113" s="292">
        <v>0</v>
      </c>
      <c r="J113" s="292">
        <v>0</v>
      </c>
      <c r="K113" s="292">
        <v>0</v>
      </c>
      <c r="L113" s="283">
        <v>696362</v>
      </c>
    </row>
    <row r="114" spans="1:12" x14ac:dyDescent="0.25">
      <c r="A114" s="224" t="s">
        <v>622</v>
      </c>
      <c r="B114" s="234" t="s">
        <v>140</v>
      </c>
      <c r="C114" s="5" t="s">
        <v>623</v>
      </c>
      <c r="D114" s="83">
        <v>298</v>
      </c>
      <c r="E114" s="83" t="s">
        <v>379</v>
      </c>
      <c r="F114" s="283">
        <v>826282</v>
      </c>
      <c r="G114" s="292">
        <v>0</v>
      </c>
      <c r="H114" s="283">
        <v>826282</v>
      </c>
      <c r="I114" s="292">
        <v>0</v>
      </c>
      <c r="J114" s="292">
        <v>0</v>
      </c>
      <c r="K114" s="292">
        <v>0</v>
      </c>
      <c r="L114" s="283">
        <v>826282</v>
      </c>
    </row>
    <row r="115" spans="1:12" x14ac:dyDescent="0.25">
      <c r="A115" s="224" t="s">
        <v>622</v>
      </c>
      <c r="B115" s="234" t="s">
        <v>140</v>
      </c>
      <c r="C115" s="5" t="s">
        <v>623</v>
      </c>
      <c r="D115" s="83">
        <v>298</v>
      </c>
      <c r="E115" s="83" t="s">
        <v>391</v>
      </c>
      <c r="F115" s="283">
        <v>1579014</v>
      </c>
      <c r="G115" s="292">
        <v>0</v>
      </c>
      <c r="H115" s="283">
        <v>1579014</v>
      </c>
      <c r="I115" s="292">
        <v>0</v>
      </c>
      <c r="J115" s="292">
        <v>0</v>
      </c>
      <c r="K115" s="292">
        <v>0</v>
      </c>
      <c r="L115" s="283">
        <v>1579014</v>
      </c>
    </row>
    <row r="116" spans="1:12" x14ac:dyDescent="0.25">
      <c r="A116" s="224" t="s">
        <v>622</v>
      </c>
      <c r="B116" s="234" t="s">
        <v>140</v>
      </c>
      <c r="C116" s="5" t="s">
        <v>623</v>
      </c>
      <c r="D116" s="83">
        <v>298</v>
      </c>
      <c r="E116" s="83" t="s">
        <v>397</v>
      </c>
      <c r="F116" s="283">
        <v>1483364</v>
      </c>
      <c r="G116" s="292">
        <v>0</v>
      </c>
      <c r="H116" s="283">
        <v>1483364</v>
      </c>
      <c r="I116" s="292">
        <v>0</v>
      </c>
      <c r="J116" s="292">
        <v>0</v>
      </c>
      <c r="K116" s="292">
        <v>0</v>
      </c>
      <c r="L116" s="283">
        <v>1483364</v>
      </c>
    </row>
    <row r="117" spans="1:12" x14ac:dyDescent="0.25">
      <c r="A117" s="224" t="s">
        <v>622</v>
      </c>
      <c r="B117" s="234" t="s">
        <v>140</v>
      </c>
      <c r="C117" s="5" t="s">
        <v>623</v>
      </c>
      <c r="D117" s="83">
        <v>298</v>
      </c>
      <c r="E117" s="83" t="s">
        <v>399</v>
      </c>
      <c r="F117" s="283">
        <v>603417</v>
      </c>
      <c r="G117" s="292">
        <v>0</v>
      </c>
      <c r="H117" s="283">
        <v>603417</v>
      </c>
      <c r="I117" s="292">
        <v>0</v>
      </c>
      <c r="J117" s="292">
        <v>0</v>
      </c>
      <c r="K117" s="292">
        <v>0</v>
      </c>
      <c r="L117" s="283">
        <v>603417</v>
      </c>
    </row>
    <row r="118" spans="1:12" x14ac:dyDescent="0.25">
      <c r="A118" s="224" t="s">
        <v>622</v>
      </c>
      <c r="B118" s="234" t="s">
        <v>140</v>
      </c>
      <c r="C118" s="5" t="s">
        <v>623</v>
      </c>
      <c r="D118" s="83">
        <v>298</v>
      </c>
      <c r="E118" s="83" t="s">
        <v>401</v>
      </c>
      <c r="F118" s="283">
        <v>567345</v>
      </c>
      <c r="G118" s="292">
        <v>0</v>
      </c>
      <c r="H118" s="283">
        <v>567345</v>
      </c>
      <c r="I118" s="292">
        <v>0</v>
      </c>
      <c r="J118" s="292">
        <v>0</v>
      </c>
      <c r="K118" s="292">
        <v>0</v>
      </c>
      <c r="L118" s="283">
        <v>567345</v>
      </c>
    </row>
    <row r="119" spans="1:12" x14ac:dyDescent="0.25">
      <c r="A119" s="224" t="s">
        <v>622</v>
      </c>
      <c r="B119" s="234" t="s">
        <v>140</v>
      </c>
      <c r="C119" s="5" t="s">
        <v>623</v>
      </c>
      <c r="D119" s="83">
        <v>298</v>
      </c>
      <c r="E119" s="83" t="s">
        <v>403</v>
      </c>
      <c r="F119" s="283">
        <v>278272</v>
      </c>
      <c r="G119" s="292">
        <v>0</v>
      </c>
      <c r="H119" s="283">
        <v>278272</v>
      </c>
      <c r="I119" s="292">
        <v>0</v>
      </c>
      <c r="J119" s="292">
        <v>0</v>
      </c>
      <c r="K119" s="292">
        <v>0</v>
      </c>
      <c r="L119" s="283">
        <v>278272</v>
      </c>
    </row>
    <row r="120" spans="1:12" x14ac:dyDescent="0.25">
      <c r="A120" s="224" t="s">
        <v>622</v>
      </c>
      <c r="B120" s="234" t="s">
        <v>140</v>
      </c>
      <c r="C120" s="5" t="s">
        <v>623</v>
      </c>
      <c r="D120" s="83">
        <v>298</v>
      </c>
      <c r="E120" s="83" t="s">
        <v>405</v>
      </c>
      <c r="F120" s="283">
        <v>211658</v>
      </c>
      <c r="G120" s="292">
        <v>0</v>
      </c>
      <c r="H120" s="283">
        <v>211658</v>
      </c>
      <c r="I120" s="292">
        <v>0</v>
      </c>
      <c r="J120" s="292">
        <v>0</v>
      </c>
      <c r="K120" s="292">
        <v>0</v>
      </c>
      <c r="L120" s="283">
        <v>211658</v>
      </c>
    </row>
    <row r="121" spans="1:12" x14ac:dyDescent="0.25">
      <c r="A121" s="224" t="s">
        <v>622</v>
      </c>
      <c r="B121" s="234" t="s">
        <v>140</v>
      </c>
      <c r="C121" s="5" t="s">
        <v>623</v>
      </c>
      <c r="D121" s="83">
        <v>298</v>
      </c>
      <c r="E121" s="83" t="s">
        <v>407</v>
      </c>
      <c r="F121" s="283">
        <v>188729</v>
      </c>
      <c r="G121" s="292">
        <v>0</v>
      </c>
      <c r="H121" s="283">
        <v>188729</v>
      </c>
      <c r="I121" s="292">
        <v>0</v>
      </c>
      <c r="J121" s="292">
        <v>0</v>
      </c>
      <c r="K121" s="292">
        <v>0</v>
      </c>
      <c r="L121" s="283">
        <v>188729</v>
      </c>
    </row>
    <row r="122" spans="1:12" x14ac:dyDescent="0.25">
      <c r="A122" s="199" t="s">
        <v>624</v>
      </c>
      <c r="B122" s="200" t="s">
        <v>140</v>
      </c>
      <c r="C122" s="200" t="s">
        <v>140</v>
      </c>
      <c r="D122" s="200" t="s">
        <v>140</v>
      </c>
      <c r="E122" s="200" t="s">
        <v>140</v>
      </c>
      <c r="F122" s="293">
        <f>SUBTOTAL(109,local298[Program
Costs])</f>
        <v>27019608</v>
      </c>
      <c r="G122" s="293">
        <f>SUBTOTAL(109,local298[Less: Net Payments and Offsets])</f>
        <v>0</v>
      </c>
      <c r="H122" s="293">
        <f>SUBTOTAL(109,local298[Accounts Payable
Balance])</f>
        <v>27019608</v>
      </c>
      <c r="I122" s="293">
        <f>SUBTOTAL(109,local298[Established
Accounts Receivable])</f>
        <v>0</v>
      </c>
      <c r="J122" s="293">
        <f>SUBTOTAL(109,local298[Less: Recovered Amount])</f>
        <v>0</v>
      </c>
      <c r="K122" s="293">
        <f>SUBTOTAL(109,local298[Accounts Receivable
Balance])</f>
        <v>0</v>
      </c>
      <c r="L122" s="293">
        <f>SUBTOTAL(109,local298[Net
Balance])</f>
        <v>27019608</v>
      </c>
    </row>
    <row r="123" spans="1:12" x14ac:dyDescent="0.25">
      <c r="A123" s="235" t="s">
        <v>141</v>
      </c>
      <c r="B123" s="201"/>
      <c r="C123" s="5"/>
      <c r="D123" s="83"/>
      <c r="E123" s="83"/>
      <c r="F123" s="193"/>
      <c r="G123" s="193"/>
      <c r="H123" s="193"/>
      <c r="I123" s="193"/>
      <c r="J123" s="193"/>
      <c r="K123" s="193"/>
      <c r="L123" s="193"/>
    </row>
    <row r="124" spans="1:12" ht="45" customHeight="1" x14ac:dyDescent="0.25">
      <c r="A124" s="10" t="s">
        <v>6</v>
      </c>
      <c r="B124" s="55" t="s">
        <v>142</v>
      </c>
      <c r="C124" s="10" t="s">
        <v>0</v>
      </c>
      <c r="D124" s="10" t="s">
        <v>441</v>
      </c>
      <c r="E124" s="10" t="s">
        <v>5</v>
      </c>
      <c r="F124" s="215" t="s">
        <v>234</v>
      </c>
      <c r="G124" s="216" t="s">
        <v>235</v>
      </c>
      <c r="H124" s="215" t="s">
        <v>444</v>
      </c>
      <c r="I124" s="215" t="s">
        <v>445</v>
      </c>
      <c r="J124" s="215" t="s">
        <v>446</v>
      </c>
      <c r="K124" s="215" t="s">
        <v>447</v>
      </c>
      <c r="L124" s="215" t="s">
        <v>305</v>
      </c>
    </row>
    <row r="125" spans="1:12" x14ac:dyDescent="0.25">
      <c r="A125" s="224" t="s">
        <v>625</v>
      </c>
      <c r="B125" s="234" t="s">
        <v>140</v>
      </c>
      <c r="C125" s="5" t="s">
        <v>626</v>
      </c>
      <c r="D125" s="83">
        <v>281</v>
      </c>
      <c r="E125" s="83" t="s">
        <v>343</v>
      </c>
      <c r="F125" s="292">
        <v>17935</v>
      </c>
      <c r="G125" s="292">
        <v>0</v>
      </c>
      <c r="H125" s="292">
        <v>17935</v>
      </c>
      <c r="I125" s="292">
        <v>0</v>
      </c>
      <c r="J125" s="292">
        <v>0</v>
      </c>
      <c r="K125" s="292">
        <v>0</v>
      </c>
      <c r="L125" s="292">
        <v>17935</v>
      </c>
    </row>
    <row r="126" spans="1:12" x14ac:dyDescent="0.25">
      <c r="A126" s="224" t="s">
        <v>625</v>
      </c>
      <c r="B126" s="234" t="s">
        <v>140</v>
      </c>
      <c r="C126" s="5" t="s">
        <v>626</v>
      </c>
      <c r="D126" s="83">
        <v>281</v>
      </c>
      <c r="E126" s="83" t="s">
        <v>379</v>
      </c>
      <c r="F126" s="292">
        <v>383293</v>
      </c>
      <c r="G126" s="292">
        <v>0</v>
      </c>
      <c r="H126" s="292">
        <v>383293</v>
      </c>
      <c r="I126" s="292">
        <v>0</v>
      </c>
      <c r="J126" s="292">
        <v>0</v>
      </c>
      <c r="K126" s="292">
        <v>0</v>
      </c>
      <c r="L126" s="292">
        <v>383293</v>
      </c>
    </row>
    <row r="127" spans="1:12" x14ac:dyDescent="0.25">
      <c r="A127" s="224" t="s">
        <v>625</v>
      </c>
      <c r="B127" s="234" t="s">
        <v>140</v>
      </c>
      <c r="C127" s="5" t="s">
        <v>626</v>
      </c>
      <c r="D127" s="83">
        <v>281</v>
      </c>
      <c r="E127" s="83" t="s">
        <v>391</v>
      </c>
      <c r="F127" s="292">
        <v>681608</v>
      </c>
      <c r="G127" s="292">
        <v>0</v>
      </c>
      <c r="H127" s="292">
        <v>681608</v>
      </c>
      <c r="I127" s="292">
        <v>0</v>
      </c>
      <c r="J127" s="292">
        <v>0</v>
      </c>
      <c r="K127" s="292">
        <v>0</v>
      </c>
      <c r="L127" s="292">
        <v>681608</v>
      </c>
    </row>
    <row r="128" spans="1:12" x14ac:dyDescent="0.25">
      <c r="A128" s="224" t="s">
        <v>625</v>
      </c>
      <c r="B128" s="234" t="s">
        <v>140</v>
      </c>
      <c r="C128" s="5" t="s">
        <v>626</v>
      </c>
      <c r="D128" s="83">
        <v>281</v>
      </c>
      <c r="E128" s="83" t="s">
        <v>397</v>
      </c>
      <c r="F128" s="292">
        <v>649974</v>
      </c>
      <c r="G128" s="292">
        <v>0</v>
      </c>
      <c r="H128" s="292">
        <v>649974</v>
      </c>
      <c r="I128" s="292">
        <v>0</v>
      </c>
      <c r="J128" s="292">
        <v>0</v>
      </c>
      <c r="K128" s="292">
        <v>0</v>
      </c>
      <c r="L128" s="292">
        <v>649974</v>
      </c>
    </row>
    <row r="129" spans="1:12" x14ac:dyDescent="0.25">
      <c r="A129" s="224" t="s">
        <v>625</v>
      </c>
      <c r="B129" s="234" t="s">
        <v>140</v>
      </c>
      <c r="C129" s="5" t="s">
        <v>626</v>
      </c>
      <c r="D129" s="83">
        <v>281</v>
      </c>
      <c r="E129" s="83" t="s">
        <v>399</v>
      </c>
      <c r="F129" s="292">
        <v>680286</v>
      </c>
      <c r="G129" s="292">
        <v>0</v>
      </c>
      <c r="H129" s="292">
        <v>680286</v>
      </c>
      <c r="I129" s="292">
        <v>0</v>
      </c>
      <c r="J129" s="292">
        <v>0</v>
      </c>
      <c r="K129" s="292">
        <v>0</v>
      </c>
      <c r="L129" s="292">
        <v>680286</v>
      </c>
    </row>
    <row r="130" spans="1:12" x14ac:dyDescent="0.25">
      <c r="A130" s="224" t="s">
        <v>625</v>
      </c>
      <c r="B130" s="234" t="s">
        <v>140</v>
      </c>
      <c r="C130" s="5" t="s">
        <v>626</v>
      </c>
      <c r="D130" s="83">
        <v>281</v>
      </c>
      <c r="E130" s="83" t="s">
        <v>401</v>
      </c>
      <c r="F130" s="292">
        <v>427477</v>
      </c>
      <c r="G130" s="292">
        <v>0</v>
      </c>
      <c r="H130" s="292">
        <v>427477</v>
      </c>
      <c r="I130" s="292">
        <v>0</v>
      </c>
      <c r="J130" s="292">
        <v>0</v>
      </c>
      <c r="K130" s="292">
        <v>0</v>
      </c>
      <c r="L130" s="292">
        <v>427477</v>
      </c>
    </row>
    <row r="131" spans="1:12" x14ac:dyDescent="0.25">
      <c r="A131" s="224" t="s">
        <v>625</v>
      </c>
      <c r="B131" s="234" t="s">
        <v>140</v>
      </c>
      <c r="C131" s="5" t="s">
        <v>626</v>
      </c>
      <c r="D131" s="83">
        <v>281</v>
      </c>
      <c r="E131" s="83" t="s">
        <v>403</v>
      </c>
      <c r="F131" s="292">
        <v>446868</v>
      </c>
      <c r="G131" s="292">
        <v>0</v>
      </c>
      <c r="H131" s="292">
        <v>446868</v>
      </c>
      <c r="I131" s="292">
        <v>0</v>
      </c>
      <c r="J131" s="292">
        <v>0</v>
      </c>
      <c r="K131" s="292">
        <v>0</v>
      </c>
      <c r="L131" s="292">
        <v>446868</v>
      </c>
    </row>
    <row r="132" spans="1:12" x14ac:dyDescent="0.25">
      <c r="A132" s="224" t="s">
        <v>625</v>
      </c>
      <c r="B132" s="234" t="s">
        <v>140</v>
      </c>
      <c r="C132" s="5" t="s">
        <v>626</v>
      </c>
      <c r="D132" s="83">
        <v>281</v>
      </c>
      <c r="E132" s="83" t="s">
        <v>405</v>
      </c>
      <c r="F132" s="292">
        <v>821319</v>
      </c>
      <c r="G132" s="292">
        <v>0</v>
      </c>
      <c r="H132" s="292">
        <v>821319</v>
      </c>
      <c r="I132" s="292">
        <v>0</v>
      </c>
      <c r="J132" s="292">
        <v>0</v>
      </c>
      <c r="K132" s="292">
        <v>0</v>
      </c>
      <c r="L132" s="292">
        <v>821319</v>
      </c>
    </row>
    <row r="133" spans="1:12" x14ac:dyDescent="0.25">
      <c r="A133" s="224" t="s">
        <v>625</v>
      </c>
      <c r="B133" s="234" t="s">
        <v>140</v>
      </c>
      <c r="C133" s="5" t="s">
        <v>626</v>
      </c>
      <c r="D133" s="83">
        <v>281</v>
      </c>
      <c r="E133" s="83" t="s">
        <v>407</v>
      </c>
      <c r="F133" s="292">
        <v>565634</v>
      </c>
      <c r="G133" s="292">
        <v>0</v>
      </c>
      <c r="H133" s="292">
        <v>565634</v>
      </c>
      <c r="I133" s="292">
        <v>0</v>
      </c>
      <c r="J133" s="292">
        <v>0</v>
      </c>
      <c r="K133" s="292">
        <v>0</v>
      </c>
      <c r="L133" s="292">
        <v>565634</v>
      </c>
    </row>
    <row r="134" spans="1:12" x14ac:dyDescent="0.25">
      <c r="A134" s="224" t="s">
        <v>625</v>
      </c>
      <c r="B134" s="234" t="s">
        <v>140</v>
      </c>
      <c r="C134" s="5" t="s">
        <v>626</v>
      </c>
      <c r="D134" s="83">
        <v>281</v>
      </c>
      <c r="E134" s="83" t="s">
        <v>411</v>
      </c>
      <c r="F134" s="292">
        <v>235446</v>
      </c>
      <c r="G134" s="292">
        <v>0</v>
      </c>
      <c r="H134" s="292">
        <v>235446</v>
      </c>
      <c r="I134" s="292">
        <v>0</v>
      </c>
      <c r="J134" s="292">
        <v>0</v>
      </c>
      <c r="K134" s="292">
        <v>0</v>
      </c>
      <c r="L134" s="292">
        <v>235446</v>
      </c>
    </row>
    <row r="135" spans="1:12" x14ac:dyDescent="0.25">
      <c r="A135" s="202" t="s">
        <v>627</v>
      </c>
      <c r="B135" s="87" t="s">
        <v>140</v>
      </c>
      <c r="C135" s="87" t="s">
        <v>140</v>
      </c>
      <c r="D135" s="87" t="s">
        <v>140</v>
      </c>
      <c r="E135" s="87" t="s">
        <v>140</v>
      </c>
      <c r="F135" s="244">
        <f>SUBTOTAL(109,local281[Program
Costs])</f>
        <v>4909840</v>
      </c>
      <c r="G135" s="244">
        <f>SUBTOTAL(109,local281[Less: Net Payments and Offsets])</f>
        <v>0</v>
      </c>
      <c r="H135" s="244">
        <f>SUBTOTAL(109,local281[Accounts Payable
Balance])</f>
        <v>4909840</v>
      </c>
      <c r="I135" s="244">
        <f>SUBTOTAL(109,local281[Established
Accounts Receivable])</f>
        <v>0</v>
      </c>
      <c r="J135" s="244">
        <f>SUBTOTAL(109,local281[Less: Recovered Amount])</f>
        <v>0</v>
      </c>
      <c r="K135" s="244">
        <f>SUBTOTAL(109,local281[Accounts Receivable
Balance])</f>
        <v>0</v>
      </c>
      <c r="L135" s="244">
        <f>SUBTOTAL(109,local281[Net
Balance])</f>
        <v>4909840</v>
      </c>
    </row>
    <row r="136" spans="1:12" x14ac:dyDescent="0.25">
      <c r="A136" s="235" t="s">
        <v>141</v>
      </c>
      <c r="B136" s="201"/>
      <c r="C136" s="5"/>
      <c r="D136" s="83"/>
      <c r="E136" s="83"/>
      <c r="F136" s="193"/>
      <c r="G136" s="193"/>
      <c r="H136" s="193"/>
      <c r="I136" s="193"/>
      <c r="J136" s="193"/>
      <c r="K136" s="193"/>
      <c r="L136" s="193"/>
    </row>
    <row r="137" spans="1:12" ht="45" customHeight="1" x14ac:dyDescent="0.25">
      <c r="A137" s="10" t="s">
        <v>6</v>
      </c>
      <c r="B137" s="55" t="s">
        <v>142</v>
      </c>
      <c r="C137" s="10" t="s">
        <v>0</v>
      </c>
      <c r="D137" s="10" t="s">
        <v>441</v>
      </c>
      <c r="E137" s="10" t="s">
        <v>5</v>
      </c>
      <c r="F137" s="215" t="s">
        <v>234</v>
      </c>
      <c r="G137" s="216" t="s">
        <v>235</v>
      </c>
      <c r="H137" s="215" t="s">
        <v>444</v>
      </c>
      <c r="I137" s="215" t="s">
        <v>445</v>
      </c>
      <c r="J137" s="215" t="s">
        <v>446</v>
      </c>
      <c r="K137" s="215" t="s">
        <v>447</v>
      </c>
      <c r="L137" s="215" t="s">
        <v>305</v>
      </c>
    </row>
    <row r="138" spans="1:12" ht="15" customHeight="1" x14ac:dyDescent="0.25">
      <c r="A138" s="224" t="s">
        <v>628</v>
      </c>
      <c r="B138" s="234" t="s">
        <v>140</v>
      </c>
      <c r="C138" s="5" t="s">
        <v>629</v>
      </c>
      <c r="D138" s="83">
        <v>323</v>
      </c>
      <c r="E138" s="83" t="s">
        <v>323</v>
      </c>
      <c r="F138" s="292">
        <v>630042</v>
      </c>
      <c r="G138" s="292">
        <v>0</v>
      </c>
      <c r="H138" s="292">
        <v>630042</v>
      </c>
      <c r="I138" s="292">
        <v>0</v>
      </c>
      <c r="J138" s="292">
        <v>0</v>
      </c>
      <c r="K138" s="292">
        <v>0</v>
      </c>
      <c r="L138" s="292">
        <v>630042</v>
      </c>
    </row>
    <row r="139" spans="1:12" ht="15" customHeight="1" x14ac:dyDescent="0.25">
      <c r="A139" s="224" t="s">
        <v>628</v>
      </c>
      <c r="B139" s="234" t="s">
        <v>140</v>
      </c>
      <c r="C139" s="5" t="s">
        <v>629</v>
      </c>
      <c r="D139" s="83">
        <v>323</v>
      </c>
      <c r="E139" s="83" t="s">
        <v>329</v>
      </c>
      <c r="F139" s="292">
        <v>2509</v>
      </c>
      <c r="G139" s="292">
        <v>0</v>
      </c>
      <c r="H139" s="292">
        <v>2509</v>
      </c>
      <c r="I139" s="292">
        <v>0</v>
      </c>
      <c r="J139" s="292">
        <v>0</v>
      </c>
      <c r="K139" s="292">
        <v>0</v>
      </c>
      <c r="L139" s="292">
        <v>2509</v>
      </c>
    </row>
    <row r="140" spans="1:12" ht="15" customHeight="1" x14ac:dyDescent="0.25">
      <c r="A140" s="224" t="s">
        <v>628</v>
      </c>
      <c r="B140" s="234" t="s">
        <v>140</v>
      </c>
      <c r="C140" s="5" t="s">
        <v>629</v>
      </c>
      <c r="D140" s="83">
        <v>323</v>
      </c>
      <c r="E140" s="83" t="s">
        <v>343</v>
      </c>
      <c r="F140" s="292">
        <v>468288</v>
      </c>
      <c r="G140" s="292">
        <v>0</v>
      </c>
      <c r="H140" s="292">
        <v>468288</v>
      </c>
      <c r="I140" s="292">
        <v>0</v>
      </c>
      <c r="J140" s="292">
        <v>0</v>
      </c>
      <c r="K140" s="292">
        <v>0</v>
      </c>
      <c r="L140" s="292">
        <v>468288</v>
      </c>
    </row>
    <row r="141" spans="1:12" ht="15" customHeight="1" x14ac:dyDescent="0.25">
      <c r="A141" s="224" t="s">
        <v>628</v>
      </c>
      <c r="B141" s="234" t="s">
        <v>140</v>
      </c>
      <c r="C141" s="5" t="s">
        <v>629</v>
      </c>
      <c r="D141" s="83">
        <v>323</v>
      </c>
      <c r="E141" s="83" t="s">
        <v>391</v>
      </c>
      <c r="F141" s="292">
        <v>321317</v>
      </c>
      <c r="G141" s="292">
        <v>0</v>
      </c>
      <c r="H141" s="292">
        <v>321317</v>
      </c>
      <c r="I141" s="292">
        <v>0</v>
      </c>
      <c r="J141" s="292">
        <v>0</v>
      </c>
      <c r="K141" s="292">
        <v>0</v>
      </c>
      <c r="L141" s="292">
        <v>321317</v>
      </c>
    </row>
    <row r="142" spans="1:12" ht="15" customHeight="1" x14ac:dyDescent="0.25">
      <c r="A142" s="224" t="s">
        <v>628</v>
      </c>
      <c r="B142" s="234" t="s">
        <v>140</v>
      </c>
      <c r="C142" s="5" t="s">
        <v>629</v>
      </c>
      <c r="D142" s="83">
        <v>323</v>
      </c>
      <c r="E142" s="83" t="s">
        <v>399</v>
      </c>
      <c r="F142" s="292">
        <v>224217</v>
      </c>
      <c r="G142" s="292">
        <v>0</v>
      </c>
      <c r="H142" s="292">
        <v>224217</v>
      </c>
      <c r="I142" s="292">
        <v>0</v>
      </c>
      <c r="J142" s="292">
        <v>0</v>
      </c>
      <c r="K142" s="292">
        <v>0</v>
      </c>
      <c r="L142" s="292">
        <v>224217</v>
      </c>
    </row>
    <row r="143" spans="1:12" ht="15" customHeight="1" x14ac:dyDescent="0.25">
      <c r="A143" s="224" t="s">
        <v>628</v>
      </c>
      <c r="B143" s="234" t="s">
        <v>140</v>
      </c>
      <c r="C143" s="5" t="s">
        <v>629</v>
      </c>
      <c r="D143" s="83">
        <v>323</v>
      </c>
      <c r="E143" s="83" t="s">
        <v>403</v>
      </c>
      <c r="F143" s="292">
        <v>138065</v>
      </c>
      <c r="G143" s="292">
        <v>0</v>
      </c>
      <c r="H143" s="292">
        <v>138065</v>
      </c>
      <c r="I143" s="292">
        <v>0</v>
      </c>
      <c r="J143" s="292">
        <v>0</v>
      </c>
      <c r="K143" s="292">
        <v>0</v>
      </c>
      <c r="L143" s="292">
        <v>138065</v>
      </c>
    </row>
    <row r="144" spans="1:12" ht="15" customHeight="1" x14ac:dyDescent="0.25">
      <c r="A144" s="224" t="s">
        <v>628</v>
      </c>
      <c r="B144" s="234" t="s">
        <v>140</v>
      </c>
      <c r="C144" s="5" t="s">
        <v>629</v>
      </c>
      <c r="D144" s="83">
        <v>323</v>
      </c>
      <c r="E144" s="83" t="s">
        <v>407</v>
      </c>
      <c r="F144" s="292">
        <v>32181</v>
      </c>
      <c r="G144" s="292">
        <v>0</v>
      </c>
      <c r="H144" s="292">
        <v>32181</v>
      </c>
      <c r="I144" s="292">
        <v>0</v>
      </c>
      <c r="J144" s="292">
        <v>0</v>
      </c>
      <c r="K144" s="292">
        <v>0</v>
      </c>
      <c r="L144" s="292">
        <v>32181</v>
      </c>
    </row>
    <row r="145" spans="1:12" ht="15" customHeight="1" x14ac:dyDescent="0.25">
      <c r="A145" s="202" t="s">
        <v>630</v>
      </c>
      <c r="B145" s="87" t="s">
        <v>140</v>
      </c>
      <c r="C145" s="87" t="s">
        <v>140</v>
      </c>
      <c r="D145" s="87" t="s">
        <v>140</v>
      </c>
      <c r="E145" s="87" t="s">
        <v>140</v>
      </c>
      <c r="F145" s="244">
        <f>SUBTOTAL(109,local323[Program
Costs])</f>
        <v>1816619</v>
      </c>
      <c r="G145" s="244">
        <f>SUBTOTAL(109,local323[Less: Net Payments and Offsets])</f>
        <v>0</v>
      </c>
      <c r="H145" s="244">
        <f>SUBTOTAL(109,local323[Accounts Payable
Balance])</f>
        <v>1816619</v>
      </c>
      <c r="I145" s="244">
        <f>SUBTOTAL(109,local323[Established
Accounts Receivable])</f>
        <v>0</v>
      </c>
      <c r="J145" s="244">
        <f>SUBTOTAL(109,local323[Less: Recovered Amount])</f>
        <v>0</v>
      </c>
      <c r="K145" s="244">
        <f>SUBTOTAL(109,local323[Accounts Receivable
Balance])</f>
        <v>0</v>
      </c>
      <c r="L145" s="244">
        <f>SUBTOTAL(109,local323[Net
Balance])</f>
        <v>1816619</v>
      </c>
    </row>
    <row r="146" spans="1:12" ht="15" customHeight="1" x14ac:dyDescent="0.25">
      <c r="A146" s="235" t="s">
        <v>141</v>
      </c>
      <c r="B146" s="201"/>
      <c r="C146" s="5"/>
      <c r="D146" s="83"/>
      <c r="E146" s="83"/>
      <c r="F146" s="193"/>
      <c r="G146" s="193"/>
      <c r="H146" s="193"/>
      <c r="I146" s="193"/>
      <c r="J146" s="193"/>
      <c r="K146" s="193"/>
      <c r="L146" s="193"/>
    </row>
    <row r="147" spans="1:12" ht="45" customHeight="1" x14ac:dyDescent="0.25">
      <c r="A147" s="10" t="s">
        <v>6</v>
      </c>
      <c r="B147" s="55" t="s">
        <v>142</v>
      </c>
      <c r="C147" s="10" t="s">
        <v>0</v>
      </c>
      <c r="D147" s="10" t="s">
        <v>441</v>
      </c>
      <c r="E147" s="10" t="s">
        <v>5</v>
      </c>
      <c r="F147" s="215" t="s">
        <v>234</v>
      </c>
      <c r="G147" s="216" t="s">
        <v>235</v>
      </c>
      <c r="H147" s="215" t="s">
        <v>444</v>
      </c>
      <c r="I147" s="215" t="s">
        <v>445</v>
      </c>
      <c r="J147" s="215" t="s">
        <v>446</v>
      </c>
      <c r="K147" s="215" t="s">
        <v>447</v>
      </c>
      <c r="L147" s="215" t="s">
        <v>305</v>
      </c>
    </row>
    <row r="148" spans="1:12" ht="15" customHeight="1" x14ac:dyDescent="0.25">
      <c r="A148" s="224" t="s">
        <v>631</v>
      </c>
      <c r="B148" s="234" t="s">
        <v>140</v>
      </c>
      <c r="C148" s="5" t="s">
        <v>307</v>
      </c>
      <c r="D148" s="83">
        <v>356</v>
      </c>
      <c r="E148" s="1" t="s">
        <v>217</v>
      </c>
      <c r="F148" s="283">
        <v>763760</v>
      </c>
      <c r="G148" s="292">
        <v>0</v>
      </c>
      <c r="H148" s="283">
        <v>763760</v>
      </c>
      <c r="I148" s="292">
        <v>0</v>
      </c>
      <c r="J148" s="292">
        <v>0</v>
      </c>
      <c r="K148" s="292">
        <v>0</v>
      </c>
      <c r="L148" s="283">
        <v>763760</v>
      </c>
    </row>
    <row r="149" spans="1:12" ht="15" customHeight="1" x14ac:dyDescent="0.25">
      <c r="A149" s="224" t="s">
        <v>631</v>
      </c>
      <c r="B149" s="236" t="s">
        <v>140</v>
      </c>
      <c r="C149" s="5" t="s">
        <v>307</v>
      </c>
      <c r="D149" s="83">
        <v>356</v>
      </c>
      <c r="E149" s="1" t="s">
        <v>96</v>
      </c>
      <c r="F149" s="283">
        <v>756164</v>
      </c>
      <c r="G149" s="292">
        <v>0</v>
      </c>
      <c r="H149" s="283">
        <v>756164</v>
      </c>
      <c r="I149" s="294">
        <v>0</v>
      </c>
      <c r="J149" s="294">
        <v>0</v>
      </c>
      <c r="K149" s="294">
        <v>0</v>
      </c>
      <c r="L149" s="283">
        <v>756164</v>
      </c>
    </row>
    <row r="150" spans="1:12" ht="15" customHeight="1" x14ac:dyDescent="0.25">
      <c r="A150" s="224" t="s">
        <v>631</v>
      </c>
      <c r="B150" s="234" t="s">
        <v>140</v>
      </c>
      <c r="C150" s="5" t="s">
        <v>307</v>
      </c>
      <c r="D150" s="83">
        <v>356</v>
      </c>
      <c r="E150" s="1" t="s">
        <v>46</v>
      </c>
      <c r="F150" s="283">
        <v>639275</v>
      </c>
      <c r="G150" s="292">
        <v>0</v>
      </c>
      <c r="H150" s="283">
        <v>639275</v>
      </c>
      <c r="I150" s="292">
        <v>0</v>
      </c>
      <c r="J150" s="292">
        <v>0</v>
      </c>
      <c r="K150" s="292">
        <v>0</v>
      </c>
      <c r="L150" s="283">
        <v>639275</v>
      </c>
    </row>
    <row r="151" spans="1:12" ht="15" customHeight="1" x14ac:dyDescent="0.25">
      <c r="A151" s="224" t="s">
        <v>631</v>
      </c>
      <c r="B151" s="234" t="s">
        <v>140</v>
      </c>
      <c r="C151" s="5" t="s">
        <v>307</v>
      </c>
      <c r="D151" s="83">
        <v>356</v>
      </c>
      <c r="E151" s="1" t="s">
        <v>2</v>
      </c>
      <c r="F151" s="283">
        <v>663952</v>
      </c>
      <c r="G151" s="292">
        <v>0</v>
      </c>
      <c r="H151" s="283">
        <v>663952</v>
      </c>
      <c r="I151" s="292">
        <v>0</v>
      </c>
      <c r="J151" s="292">
        <v>0</v>
      </c>
      <c r="K151" s="292">
        <v>0</v>
      </c>
      <c r="L151" s="283">
        <v>663952</v>
      </c>
    </row>
    <row r="152" spans="1:12" ht="15" customHeight="1" x14ac:dyDescent="0.25">
      <c r="A152" s="224" t="s">
        <v>631</v>
      </c>
      <c r="B152" s="234" t="s">
        <v>140</v>
      </c>
      <c r="C152" s="5" t="s">
        <v>307</v>
      </c>
      <c r="D152" s="83">
        <v>356</v>
      </c>
      <c r="E152" s="1" t="s">
        <v>3</v>
      </c>
      <c r="F152" s="283">
        <v>669653</v>
      </c>
      <c r="G152" s="292">
        <v>0</v>
      </c>
      <c r="H152" s="283">
        <v>669653</v>
      </c>
      <c r="I152" s="292">
        <v>0</v>
      </c>
      <c r="J152" s="292">
        <v>0</v>
      </c>
      <c r="K152" s="292">
        <v>0</v>
      </c>
      <c r="L152" s="283">
        <v>669653</v>
      </c>
    </row>
    <row r="153" spans="1:12" ht="15" customHeight="1" x14ac:dyDescent="0.25">
      <c r="A153" s="224" t="s">
        <v>631</v>
      </c>
      <c r="B153" s="234" t="s">
        <v>140</v>
      </c>
      <c r="C153" s="5" t="s">
        <v>307</v>
      </c>
      <c r="D153" s="83">
        <v>356</v>
      </c>
      <c r="E153" s="1" t="s">
        <v>48</v>
      </c>
      <c r="F153" s="283">
        <v>618356</v>
      </c>
      <c r="G153" s="292">
        <v>0</v>
      </c>
      <c r="H153" s="283">
        <v>618356</v>
      </c>
      <c r="I153" s="292">
        <v>0</v>
      </c>
      <c r="J153" s="292">
        <v>0</v>
      </c>
      <c r="K153" s="292">
        <v>0</v>
      </c>
      <c r="L153" s="283">
        <v>618356</v>
      </c>
    </row>
    <row r="154" spans="1:12" ht="15" customHeight="1" x14ac:dyDescent="0.25">
      <c r="A154" s="224" t="s">
        <v>631</v>
      </c>
      <c r="B154" s="234" t="s">
        <v>140</v>
      </c>
      <c r="C154" s="5" t="s">
        <v>307</v>
      </c>
      <c r="D154" s="83">
        <v>356</v>
      </c>
      <c r="E154" s="1" t="s">
        <v>315</v>
      </c>
      <c r="F154" s="283">
        <v>538204</v>
      </c>
      <c r="G154" s="292">
        <v>0</v>
      </c>
      <c r="H154" s="283">
        <v>538204</v>
      </c>
      <c r="I154" s="292">
        <v>0</v>
      </c>
      <c r="J154" s="292">
        <v>0</v>
      </c>
      <c r="K154" s="292">
        <v>0</v>
      </c>
      <c r="L154" s="283">
        <v>538204</v>
      </c>
    </row>
    <row r="155" spans="1:12" ht="15" customHeight="1" x14ac:dyDescent="0.25">
      <c r="A155" s="224" t="s">
        <v>631</v>
      </c>
      <c r="B155" s="234" t="s">
        <v>140</v>
      </c>
      <c r="C155" s="5" t="s">
        <v>307</v>
      </c>
      <c r="D155" s="83">
        <v>356</v>
      </c>
      <c r="E155" s="1" t="s">
        <v>317</v>
      </c>
      <c r="F155" s="283">
        <v>501396</v>
      </c>
      <c r="G155" s="292">
        <v>0</v>
      </c>
      <c r="H155" s="283">
        <v>501396</v>
      </c>
      <c r="I155" s="292">
        <v>0</v>
      </c>
      <c r="J155" s="292">
        <v>0</v>
      </c>
      <c r="K155" s="292">
        <v>0</v>
      </c>
      <c r="L155" s="283">
        <v>501396</v>
      </c>
    </row>
    <row r="156" spans="1:12" ht="15" customHeight="1" x14ac:dyDescent="0.25">
      <c r="A156" s="224" t="s">
        <v>631</v>
      </c>
      <c r="B156" s="234" t="s">
        <v>140</v>
      </c>
      <c r="C156" s="5" t="s">
        <v>307</v>
      </c>
      <c r="D156" s="83">
        <v>356</v>
      </c>
      <c r="E156" s="1" t="s">
        <v>319</v>
      </c>
      <c r="F156" s="283">
        <v>517346</v>
      </c>
      <c r="G156" s="292">
        <v>0</v>
      </c>
      <c r="H156" s="283">
        <v>517346</v>
      </c>
      <c r="I156" s="292">
        <v>0</v>
      </c>
      <c r="J156" s="292">
        <v>0</v>
      </c>
      <c r="K156" s="292">
        <v>0</v>
      </c>
      <c r="L156" s="283">
        <v>517346</v>
      </c>
    </row>
    <row r="157" spans="1:12" ht="15" customHeight="1" x14ac:dyDescent="0.25">
      <c r="A157" s="224" t="s">
        <v>631</v>
      </c>
      <c r="B157" s="234" t="s">
        <v>140</v>
      </c>
      <c r="C157" s="5" t="s">
        <v>307</v>
      </c>
      <c r="D157" s="83">
        <v>356</v>
      </c>
      <c r="E157" s="1" t="s">
        <v>321</v>
      </c>
      <c r="F157" s="283">
        <v>411975</v>
      </c>
      <c r="G157" s="292">
        <v>0</v>
      </c>
      <c r="H157" s="283">
        <v>411975</v>
      </c>
      <c r="I157" s="292">
        <v>0</v>
      </c>
      <c r="J157" s="292">
        <v>0</v>
      </c>
      <c r="K157" s="292">
        <v>0</v>
      </c>
      <c r="L157" s="283">
        <v>411975</v>
      </c>
    </row>
    <row r="158" spans="1:12" ht="15" customHeight="1" x14ac:dyDescent="0.25">
      <c r="A158" s="224" t="s">
        <v>631</v>
      </c>
      <c r="B158" s="234" t="s">
        <v>140</v>
      </c>
      <c r="C158" s="5" t="s">
        <v>307</v>
      </c>
      <c r="D158" s="83">
        <v>356</v>
      </c>
      <c r="E158" s="1" t="s">
        <v>323</v>
      </c>
      <c r="F158" s="283">
        <v>369012</v>
      </c>
      <c r="G158" s="292">
        <v>0</v>
      </c>
      <c r="H158" s="283">
        <v>369012</v>
      </c>
      <c r="I158" s="292">
        <v>0</v>
      </c>
      <c r="J158" s="292">
        <v>0</v>
      </c>
      <c r="K158" s="292">
        <v>0</v>
      </c>
      <c r="L158" s="283">
        <v>369012</v>
      </c>
    </row>
    <row r="159" spans="1:12" x14ac:dyDescent="0.25">
      <c r="A159" s="224" t="s">
        <v>631</v>
      </c>
      <c r="B159" s="234" t="s">
        <v>140</v>
      </c>
      <c r="C159" s="5" t="s">
        <v>307</v>
      </c>
      <c r="D159" s="83">
        <v>356</v>
      </c>
      <c r="E159" s="1" t="s">
        <v>329</v>
      </c>
      <c r="F159" s="283">
        <v>339391</v>
      </c>
      <c r="G159" s="292">
        <v>0</v>
      </c>
      <c r="H159" s="283">
        <v>339391</v>
      </c>
      <c r="I159" s="292">
        <v>0</v>
      </c>
      <c r="J159" s="292">
        <v>0</v>
      </c>
      <c r="K159" s="292">
        <v>0</v>
      </c>
      <c r="L159" s="283">
        <v>339391</v>
      </c>
    </row>
    <row r="160" spans="1:12" x14ac:dyDescent="0.25">
      <c r="A160" s="224" t="s">
        <v>631</v>
      </c>
      <c r="B160" s="234" t="s">
        <v>140</v>
      </c>
      <c r="C160" s="5" t="s">
        <v>307</v>
      </c>
      <c r="D160" s="83">
        <v>356</v>
      </c>
      <c r="E160" s="1" t="s">
        <v>343</v>
      </c>
      <c r="F160" s="283">
        <v>418145</v>
      </c>
      <c r="G160" s="292">
        <v>0</v>
      </c>
      <c r="H160" s="283">
        <v>418145</v>
      </c>
      <c r="I160" s="292">
        <v>0</v>
      </c>
      <c r="J160" s="292">
        <v>0</v>
      </c>
      <c r="K160" s="292">
        <v>0</v>
      </c>
      <c r="L160" s="283">
        <v>418145</v>
      </c>
    </row>
    <row r="161" spans="1:12" x14ac:dyDescent="0.25">
      <c r="A161" s="224" t="s">
        <v>631</v>
      </c>
      <c r="B161" s="234" t="s">
        <v>140</v>
      </c>
      <c r="C161" s="5" t="s">
        <v>307</v>
      </c>
      <c r="D161" s="83">
        <v>356</v>
      </c>
      <c r="E161" s="1" t="s">
        <v>379</v>
      </c>
      <c r="F161" s="283">
        <v>361937</v>
      </c>
      <c r="G161" s="292">
        <v>0</v>
      </c>
      <c r="H161" s="283">
        <v>361937</v>
      </c>
      <c r="I161" s="292">
        <v>0</v>
      </c>
      <c r="J161" s="292">
        <v>0</v>
      </c>
      <c r="K161" s="292">
        <v>0</v>
      </c>
      <c r="L161" s="283">
        <v>361937</v>
      </c>
    </row>
    <row r="162" spans="1:12" x14ac:dyDescent="0.25">
      <c r="A162" s="224" t="s">
        <v>631</v>
      </c>
      <c r="B162" s="234" t="s">
        <v>140</v>
      </c>
      <c r="C162" s="5" t="s">
        <v>307</v>
      </c>
      <c r="D162" s="83">
        <v>356</v>
      </c>
      <c r="E162" s="1" t="s">
        <v>391</v>
      </c>
      <c r="F162" s="283">
        <v>268931</v>
      </c>
      <c r="G162" s="292">
        <v>0</v>
      </c>
      <c r="H162" s="283">
        <v>268931</v>
      </c>
      <c r="I162" s="292">
        <v>0</v>
      </c>
      <c r="J162" s="292">
        <v>0</v>
      </c>
      <c r="K162" s="292">
        <v>0</v>
      </c>
      <c r="L162" s="283">
        <v>268931</v>
      </c>
    </row>
    <row r="163" spans="1:12" x14ac:dyDescent="0.25">
      <c r="A163" s="224" t="s">
        <v>631</v>
      </c>
      <c r="B163" s="234" t="s">
        <v>140</v>
      </c>
      <c r="C163" s="5" t="s">
        <v>307</v>
      </c>
      <c r="D163" s="83">
        <v>356</v>
      </c>
      <c r="E163" s="1" t="s">
        <v>397</v>
      </c>
      <c r="F163" s="283">
        <v>361066</v>
      </c>
      <c r="G163" s="292">
        <v>0</v>
      </c>
      <c r="H163" s="283">
        <v>361066</v>
      </c>
      <c r="I163" s="292">
        <v>0</v>
      </c>
      <c r="J163" s="292">
        <v>0</v>
      </c>
      <c r="K163" s="292">
        <v>0</v>
      </c>
      <c r="L163" s="283">
        <v>361066</v>
      </c>
    </row>
    <row r="164" spans="1:12" x14ac:dyDescent="0.25">
      <c r="A164" s="224" t="s">
        <v>631</v>
      </c>
      <c r="B164" s="234" t="s">
        <v>140</v>
      </c>
      <c r="C164" s="5" t="s">
        <v>307</v>
      </c>
      <c r="D164" s="83">
        <v>356</v>
      </c>
      <c r="E164" s="1" t="s">
        <v>399</v>
      </c>
      <c r="F164" s="283">
        <v>271154</v>
      </c>
      <c r="G164" s="292">
        <v>0</v>
      </c>
      <c r="H164" s="283">
        <v>271154</v>
      </c>
      <c r="I164" s="292">
        <v>0</v>
      </c>
      <c r="J164" s="292">
        <v>0</v>
      </c>
      <c r="K164" s="292">
        <v>0</v>
      </c>
      <c r="L164" s="283">
        <v>271154</v>
      </c>
    </row>
    <row r="165" spans="1:12" x14ac:dyDescent="0.25">
      <c r="A165" s="224" t="s">
        <v>631</v>
      </c>
      <c r="B165" s="234" t="s">
        <v>140</v>
      </c>
      <c r="C165" s="5" t="s">
        <v>307</v>
      </c>
      <c r="D165" s="83">
        <v>356</v>
      </c>
      <c r="E165" s="1" t="s">
        <v>401</v>
      </c>
      <c r="F165" s="283">
        <v>298172</v>
      </c>
      <c r="G165" s="292">
        <v>0</v>
      </c>
      <c r="H165" s="283">
        <v>298172</v>
      </c>
      <c r="I165" s="292">
        <v>0</v>
      </c>
      <c r="J165" s="292">
        <v>0</v>
      </c>
      <c r="K165" s="292">
        <v>0</v>
      </c>
      <c r="L165" s="283">
        <v>298172</v>
      </c>
    </row>
    <row r="166" spans="1:12" x14ac:dyDescent="0.25">
      <c r="A166" s="224" t="s">
        <v>631</v>
      </c>
      <c r="B166" s="234" t="s">
        <v>140</v>
      </c>
      <c r="C166" s="5" t="s">
        <v>307</v>
      </c>
      <c r="D166" s="83">
        <v>356</v>
      </c>
      <c r="E166" s="1" t="s">
        <v>403</v>
      </c>
      <c r="F166" s="283">
        <v>241835</v>
      </c>
      <c r="G166" s="292">
        <v>0</v>
      </c>
      <c r="H166" s="283">
        <v>241835</v>
      </c>
      <c r="I166" s="292">
        <v>0</v>
      </c>
      <c r="J166" s="292">
        <v>0</v>
      </c>
      <c r="K166" s="292">
        <v>0</v>
      </c>
      <c r="L166" s="283">
        <v>241835</v>
      </c>
    </row>
    <row r="167" spans="1:12" x14ac:dyDescent="0.25">
      <c r="A167" s="224" t="s">
        <v>631</v>
      </c>
      <c r="B167" s="234" t="s">
        <v>140</v>
      </c>
      <c r="C167" s="5" t="s">
        <v>307</v>
      </c>
      <c r="D167" s="83">
        <v>356</v>
      </c>
      <c r="E167" s="1" t="s">
        <v>405</v>
      </c>
      <c r="F167" s="283">
        <v>224328</v>
      </c>
      <c r="G167" s="292">
        <v>0</v>
      </c>
      <c r="H167" s="283">
        <v>224328</v>
      </c>
      <c r="I167" s="292">
        <v>0</v>
      </c>
      <c r="J167" s="292">
        <v>0</v>
      </c>
      <c r="K167" s="292">
        <v>0</v>
      </c>
      <c r="L167" s="283">
        <v>224328</v>
      </c>
    </row>
    <row r="168" spans="1:12" x14ac:dyDescent="0.25">
      <c r="A168" s="199" t="s">
        <v>632</v>
      </c>
      <c r="B168" s="200" t="s">
        <v>140</v>
      </c>
      <c r="C168" s="200" t="s">
        <v>140</v>
      </c>
      <c r="D168" s="200" t="s">
        <v>140</v>
      </c>
      <c r="E168" s="200" t="s">
        <v>140</v>
      </c>
      <c r="F168" s="293">
        <f>SUBTOTAL(109,local356[Program
Costs])</f>
        <v>9234052</v>
      </c>
      <c r="G168" s="293">
        <f>SUBTOTAL(109,local356[Less: Net Payments and Offsets])</f>
        <v>0</v>
      </c>
      <c r="H168" s="293">
        <f>SUBTOTAL(109,local356[Accounts Payable
Balance])</f>
        <v>9234052</v>
      </c>
      <c r="I168" s="293">
        <f>SUBTOTAL(109,local356[Established
Accounts Receivable])</f>
        <v>0</v>
      </c>
      <c r="J168" s="293">
        <f>SUBTOTAL(109,local356[Less: Recovered Amount])</f>
        <v>0</v>
      </c>
      <c r="K168" s="293">
        <f>SUBTOTAL(109,local356[Accounts Receivable
Balance])</f>
        <v>0</v>
      </c>
      <c r="L168" s="293">
        <f>SUBTOTAL(109,local356[Net
Balance])</f>
        <v>9234052</v>
      </c>
    </row>
    <row r="169" spans="1:12" x14ac:dyDescent="0.25">
      <c r="A169" s="235" t="s">
        <v>141</v>
      </c>
      <c r="B169" s="201"/>
      <c r="C169" s="5"/>
      <c r="D169" s="83"/>
      <c r="E169" s="83"/>
      <c r="F169" s="193"/>
      <c r="G169" s="193"/>
      <c r="H169" s="193"/>
      <c r="I169" s="193"/>
      <c r="J169" s="193"/>
      <c r="K169" s="193"/>
      <c r="L169" s="193"/>
    </row>
    <row r="170" spans="1:12" ht="45" customHeight="1" x14ac:dyDescent="0.25">
      <c r="A170" s="10" t="s">
        <v>6</v>
      </c>
      <c r="B170" s="55" t="s">
        <v>142</v>
      </c>
      <c r="C170" s="10" t="s">
        <v>0</v>
      </c>
      <c r="D170" s="10" t="s">
        <v>441</v>
      </c>
      <c r="E170" s="10" t="s">
        <v>5</v>
      </c>
      <c r="F170" s="215" t="s">
        <v>234</v>
      </c>
      <c r="G170" s="216" t="s">
        <v>235</v>
      </c>
      <c r="H170" s="215" t="s">
        <v>444</v>
      </c>
      <c r="I170" s="215" t="s">
        <v>445</v>
      </c>
      <c r="J170" s="215" t="s">
        <v>446</v>
      </c>
      <c r="K170" s="215" t="s">
        <v>447</v>
      </c>
      <c r="L170" s="215" t="s">
        <v>305</v>
      </c>
    </row>
    <row r="171" spans="1:12" x14ac:dyDescent="0.25">
      <c r="A171" s="224" t="s">
        <v>633</v>
      </c>
      <c r="B171" s="234" t="s">
        <v>140</v>
      </c>
      <c r="C171" s="5" t="s">
        <v>634</v>
      </c>
      <c r="D171" s="83">
        <v>324</v>
      </c>
      <c r="E171" s="83" t="s">
        <v>321</v>
      </c>
      <c r="F171" s="292">
        <v>5284437</v>
      </c>
      <c r="G171" s="292">
        <v>0</v>
      </c>
      <c r="H171" s="292">
        <v>5284437</v>
      </c>
      <c r="I171" s="292">
        <v>0</v>
      </c>
      <c r="J171" s="292">
        <v>0</v>
      </c>
      <c r="K171" s="292">
        <v>0</v>
      </c>
      <c r="L171" s="292">
        <v>5284437</v>
      </c>
    </row>
    <row r="172" spans="1:12" x14ac:dyDescent="0.25">
      <c r="A172" s="224" t="s">
        <v>633</v>
      </c>
      <c r="B172" s="234" t="s">
        <v>140</v>
      </c>
      <c r="C172" s="5" t="s">
        <v>634</v>
      </c>
      <c r="D172" s="83">
        <v>324</v>
      </c>
      <c r="E172" s="83" t="s">
        <v>323</v>
      </c>
      <c r="F172" s="292">
        <v>4156834</v>
      </c>
      <c r="G172" s="292">
        <v>0</v>
      </c>
      <c r="H172" s="292">
        <v>4156834</v>
      </c>
      <c r="I172" s="292">
        <v>0</v>
      </c>
      <c r="J172" s="292">
        <v>0</v>
      </c>
      <c r="K172" s="292">
        <v>0</v>
      </c>
      <c r="L172" s="292">
        <v>4156834</v>
      </c>
    </row>
    <row r="173" spans="1:12" x14ac:dyDescent="0.25">
      <c r="A173" s="224" t="s">
        <v>633</v>
      </c>
      <c r="B173" s="234" t="s">
        <v>140</v>
      </c>
      <c r="C173" s="5" t="s">
        <v>634</v>
      </c>
      <c r="D173" s="83">
        <v>324</v>
      </c>
      <c r="E173" s="83" t="s">
        <v>329</v>
      </c>
      <c r="F173" s="292">
        <v>2038396</v>
      </c>
      <c r="G173" s="292">
        <v>0</v>
      </c>
      <c r="H173" s="292">
        <v>2038396</v>
      </c>
      <c r="I173" s="292">
        <v>0</v>
      </c>
      <c r="J173" s="292">
        <v>0</v>
      </c>
      <c r="K173" s="292">
        <v>0</v>
      </c>
      <c r="L173" s="292">
        <v>2038396</v>
      </c>
    </row>
    <row r="174" spans="1:12" x14ac:dyDescent="0.25">
      <c r="A174" s="224" t="s">
        <v>633</v>
      </c>
      <c r="B174" s="234" t="s">
        <v>140</v>
      </c>
      <c r="C174" s="5" t="s">
        <v>634</v>
      </c>
      <c r="D174" s="83">
        <v>324</v>
      </c>
      <c r="E174" s="83" t="s">
        <v>343</v>
      </c>
      <c r="F174" s="292">
        <v>121578</v>
      </c>
      <c r="G174" s="292">
        <v>0</v>
      </c>
      <c r="H174" s="292">
        <v>121578</v>
      </c>
      <c r="I174" s="292">
        <v>0</v>
      </c>
      <c r="J174" s="292">
        <v>0</v>
      </c>
      <c r="K174" s="292">
        <v>0</v>
      </c>
      <c r="L174" s="292">
        <v>121578</v>
      </c>
    </row>
    <row r="175" spans="1:12" x14ac:dyDescent="0.25">
      <c r="A175" s="224" t="s">
        <v>633</v>
      </c>
      <c r="B175" s="234" t="s">
        <v>140</v>
      </c>
      <c r="C175" s="5" t="s">
        <v>634</v>
      </c>
      <c r="D175" s="83">
        <v>324</v>
      </c>
      <c r="E175" s="83" t="s">
        <v>379</v>
      </c>
      <c r="F175" s="292">
        <v>191573</v>
      </c>
      <c r="G175" s="292">
        <v>0</v>
      </c>
      <c r="H175" s="292">
        <v>191573</v>
      </c>
      <c r="I175" s="292">
        <v>0</v>
      </c>
      <c r="J175" s="292">
        <v>0</v>
      </c>
      <c r="K175" s="292">
        <v>0</v>
      </c>
      <c r="L175" s="292">
        <v>191573</v>
      </c>
    </row>
    <row r="176" spans="1:12" x14ac:dyDescent="0.25">
      <c r="A176" s="224" t="s">
        <v>633</v>
      </c>
      <c r="B176" s="234" t="s">
        <v>140</v>
      </c>
      <c r="C176" s="5" t="s">
        <v>634</v>
      </c>
      <c r="D176" s="83">
        <v>324</v>
      </c>
      <c r="E176" s="83" t="s">
        <v>391</v>
      </c>
      <c r="F176" s="292">
        <v>18688</v>
      </c>
      <c r="G176" s="292">
        <v>0</v>
      </c>
      <c r="H176" s="292">
        <v>18688</v>
      </c>
      <c r="I176" s="292">
        <v>0</v>
      </c>
      <c r="J176" s="292">
        <v>0</v>
      </c>
      <c r="K176" s="292">
        <v>0</v>
      </c>
      <c r="L176" s="292">
        <v>18688</v>
      </c>
    </row>
    <row r="177" spans="1:12" x14ac:dyDescent="0.25">
      <c r="A177" s="224" t="s">
        <v>633</v>
      </c>
      <c r="B177" s="234" t="s">
        <v>140</v>
      </c>
      <c r="C177" s="5" t="s">
        <v>634</v>
      </c>
      <c r="D177" s="83">
        <v>324</v>
      </c>
      <c r="E177" s="83" t="s">
        <v>397</v>
      </c>
      <c r="F177" s="292">
        <v>24807</v>
      </c>
      <c r="G177" s="292">
        <v>0</v>
      </c>
      <c r="H177" s="292">
        <v>24807</v>
      </c>
      <c r="I177" s="292">
        <v>0</v>
      </c>
      <c r="J177" s="292">
        <v>0</v>
      </c>
      <c r="K177" s="292">
        <v>0</v>
      </c>
      <c r="L177" s="292">
        <v>24807</v>
      </c>
    </row>
    <row r="178" spans="1:12" x14ac:dyDescent="0.25">
      <c r="A178" s="224" t="s">
        <v>633</v>
      </c>
      <c r="B178" s="234" t="s">
        <v>140</v>
      </c>
      <c r="C178" s="5" t="s">
        <v>634</v>
      </c>
      <c r="D178" s="83">
        <v>324</v>
      </c>
      <c r="E178" s="83" t="s">
        <v>399</v>
      </c>
      <c r="F178" s="292">
        <v>21868</v>
      </c>
      <c r="G178" s="292">
        <v>0</v>
      </c>
      <c r="H178" s="292">
        <v>21868</v>
      </c>
      <c r="I178" s="292">
        <v>0</v>
      </c>
      <c r="J178" s="292">
        <v>0</v>
      </c>
      <c r="K178" s="292">
        <v>0</v>
      </c>
      <c r="L178" s="292">
        <v>21868</v>
      </c>
    </row>
    <row r="179" spans="1:12" x14ac:dyDescent="0.25">
      <c r="A179" s="224" t="s">
        <v>633</v>
      </c>
      <c r="B179" s="234" t="s">
        <v>140</v>
      </c>
      <c r="C179" s="5" t="s">
        <v>634</v>
      </c>
      <c r="D179" s="83">
        <v>324</v>
      </c>
      <c r="E179" s="83" t="s">
        <v>401</v>
      </c>
      <c r="F179" s="292">
        <v>24382</v>
      </c>
      <c r="G179" s="292">
        <v>0</v>
      </c>
      <c r="H179" s="292">
        <v>24382</v>
      </c>
      <c r="I179" s="292">
        <v>0</v>
      </c>
      <c r="J179" s="292">
        <v>0</v>
      </c>
      <c r="K179" s="292">
        <v>0</v>
      </c>
      <c r="L179" s="292">
        <v>24382</v>
      </c>
    </row>
    <row r="180" spans="1:12" x14ac:dyDescent="0.25">
      <c r="A180" s="224" t="s">
        <v>633</v>
      </c>
      <c r="B180" s="234" t="s">
        <v>140</v>
      </c>
      <c r="C180" s="5" t="s">
        <v>634</v>
      </c>
      <c r="D180" s="83">
        <v>324</v>
      </c>
      <c r="E180" s="83" t="s">
        <v>403</v>
      </c>
      <c r="F180" s="292">
        <v>14834</v>
      </c>
      <c r="G180" s="292">
        <v>0</v>
      </c>
      <c r="H180" s="292">
        <v>14834</v>
      </c>
      <c r="I180" s="292">
        <v>0</v>
      </c>
      <c r="J180" s="292">
        <v>0</v>
      </c>
      <c r="K180" s="292">
        <v>0</v>
      </c>
      <c r="L180" s="292">
        <v>14834</v>
      </c>
    </row>
    <row r="181" spans="1:12" x14ac:dyDescent="0.25">
      <c r="A181" s="224" t="s">
        <v>633</v>
      </c>
      <c r="B181" s="234" t="s">
        <v>140</v>
      </c>
      <c r="C181" s="5" t="s">
        <v>634</v>
      </c>
      <c r="D181" s="83">
        <v>324</v>
      </c>
      <c r="E181" s="83" t="s">
        <v>405</v>
      </c>
      <c r="F181" s="292">
        <v>9310</v>
      </c>
      <c r="G181" s="292">
        <v>0</v>
      </c>
      <c r="H181" s="292">
        <v>9310</v>
      </c>
      <c r="I181" s="292">
        <v>0</v>
      </c>
      <c r="J181" s="292">
        <v>0</v>
      </c>
      <c r="K181" s="292">
        <v>0</v>
      </c>
      <c r="L181" s="292">
        <v>9310</v>
      </c>
    </row>
    <row r="182" spans="1:12" x14ac:dyDescent="0.25">
      <c r="A182" s="202" t="s">
        <v>635</v>
      </c>
      <c r="B182" s="87" t="s">
        <v>140</v>
      </c>
      <c r="C182" s="87" t="s">
        <v>140</v>
      </c>
      <c r="D182" s="87" t="s">
        <v>140</v>
      </c>
      <c r="E182" s="87" t="s">
        <v>140</v>
      </c>
      <c r="F182" s="244">
        <f>SUBTOTAL(109,local324[Program
Costs])</f>
        <v>11906707</v>
      </c>
      <c r="G182" s="244">
        <f>SUBTOTAL(109,local324[Less: Net Payments and Offsets])</f>
        <v>0</v>
      </c>
      <c r="H182" s="244">
        <f>SUBTOTAL(109,local324[Accounts Payable
Balance])</f>
        <v>11906707</v>
      </c>
      <c r="I182" s="244">
        <f>SUBTOTAL(109,local324[Established
Accounts Receivable])</f>
        <v>0</v>
      </c>
      <c r="J182" s="244">
        <f>SUBTOTAL(109,local324[Less: Recovered Amount])</f>
        <v>0</v>
      </c>
      <c r="K182" s="244">
        <f>SUBTOTAL(109,local324[Accounts Receivable
Balance])</f>
        <v>0</v>
      </c>
      <c r="L182" s="244">
        <f>SUBTOTAL(109,local324[Net
Balance])</f>
        <v>11906707</v>
      </c>
    </row>
    <row r="183" spans="1:12" x14ac:dyDescent="0.25">
      <c r="A183" s="235" t="s">
        <v>141</v>
      </c>
      <c r="B183" s="201"/>
      <c r="C183" s="5"/>
      <c r="D183" s="83"/>
      <c r="E183" s="83"/>
      <c r="F183" s="193"/>
      <c r="G183" s="193"/>
      <c r="H183" s="193"/>
      <c r="I183" s="193"/>
      <c r="J183" s="193"/>
      <c r="K183" s="193"/>
      <c r="L183" s="193"/>
    </row>
    <row r="184" spans="1:12" ht="45" customHeight="1" x14ac:dyDescent="0.25">
      <c r="A184" s="10" t="s">
        <v>6</v>
      </c>
      <c r="B184" s="55" t="s">
        <v>142</v>
      </c>
      <c r="C184" s="10" t="s">
        <v>0</v>
      </c>
      <c r="D184" s="10" t="s">
        <v>441</v>
      </c>
      <c r="E184" s="10" t="s">
        <v>5</v>
      </c>
      <c r="F184" s="215" t="s">
        <v>234</v>
      </c>
      <c r="G184" s="216" t="s">
        <v>235</v>
      </c>
      <c r="H184" s="215" t="s">
        <v>444</v>
      </c>
      <c r="I184" s="215" t="s">
        <v>445</v>
      </c>
      <c r="J184" s="215" t="s">
        <v>446</v>
      </c>
      <c r="K184" s="215" t="s">
        <v>447</v>
      </c>
      <c r="L184" s="215" t="s">
        <v>305</v>
      </c>
    </row>
    <row r="185" spans="1:12" x14ac:dyDescent="0.25">
      <c r="A185" s="224" t="s">
        <v>636</v>
      </c>
      <c r="B185" s="234" t="s">
        <v>140</v>
      </c>
      <c r="C185" s="5" t="s">
        <v>41</v>
      </c>
      <c r="D185" s="83">
        <v>376</v>
      </c>
      <c r="E185" s="83" t="s">
        <v>3</v>
      </c>
      <c r="F185" s="292">
        <v>9711963</v>
      </c>
      <c r="G185" s="292">
        <v>0</v>
      </c>
      <c r="H185" s="292">
        <v>9711963</v>
      </c>
      <c r="I185" s="292">
        <v>0</v>
      </c>
      <c r="J185" s="292">
        <v>0</v>
      </c>
      <c r="K185" s="292">
        <v>0</v>
      </c>
      <c r="L185" s="292">
        <v>9711963</v>
      </c>
    </row>
    <row r="186" spans="1:12" x14ac:dyDescent="0.25">
      <c r="A186" s="224" t="s">
        <v>636</v>
      </c>
      <c r="B186" s="234" t="s">
        <v>140</v>
      </c>
      <c r="C186" s="5" t="s">
        <v>41</v>
      </c>
      <c r="D186" s="83">
        <v>376</v>
      </c>
      <c r="E186" s="83" t="s">
        <v>48</v>
      </c>
      <c r="F186" s="292">
        <v>8550312</v>
      </c>
      <c r="G186" s="292">
        <v>0</v>
      </c>
      <c r="H186" s="292">
        <v>8550312</v>
      </c>
      <c r="I186" s="292">
        <v>0</v>
      </c>
      <c r="J186" s="292">
        <v>0</v>
      </c>
      <c r="K186" s="292">
        <v>0</v>
      </c>
      <c r="L186" s="292">
        <v>8550312</v>
      </c>
    </row>
    <row r="187" spans="1:12" x14ac:dyDescent="0.25">
      <c r="A187" s="224" t="s">
        <v>636</v>
      </c>
      <c r="B187" s="234" t="s">
        <v>140</v>
      </c>
      <c r="C187" s="5" t="s">
        <v>41</v>
      </c>
      <c r="D187" s="83">
        <v>376</v>
      </c>
      <c r="E187" s="83" t="s">
        <v>315</v>
      </c>
      <c r="F187" s="292">
        <v>8530511</v>
      </c>
      <c r="G187" s="292">
        <v>0</v>
      </c>
      <c r="H187" s="292">
        <v>8530511</v>
      </c>
      <c r="I187" s="292">
        <v>0</v>
      </c>
      <c r="J187" s="292">
        <v>0</v>
      </c>
      <c r="K187" s="292">
        <v>0</v>
      </c>
      <c r="L187" s="292">
        <v>8530511</v>
      </c>
    </row>
    <row r="188" spans="1:12" x14ac:dyDescent="0.25">
      <c r="A188" s="224" t="s">
        <v>636</v>
      </c>
      <c r="B188" s="234" t="s">
        <v>140</v>
      </c>
      <c r="C188" s="5" t="s">
        <v>41</v>
      </c>
      <c r="D188" s="83">
        <v>376</v>
      </c>
      <c r="E188" s="83" t="s">
        <v>317</v>
      </c>
      <c r="F188" s="292">
        <v>7924117</v>
      </c>
      <c r="G188" s="292">
        <v>0</v>
      </c>
      <c r="H188" s="292">
        <v>7924117</v>
      </c>
      <c r="I188" s="292">
        <v>0</v>
      </c>
      <c r="J188" s="292">
        <v>0</v>
      </c>
      <c r="K188" s="292">
        <v>0</v>
      </c>
      <c r="L188" s="292">
        <v>7924117</v>
      </c>
    </row>
    <row r="189" spans="1:12" x14ac:dyDescent="0.25">
      <c r="A189" s="224" t="s">
        <v>636</v>
      </c>
      <c r="B189" s="234" t="s">
        <v>140</v>
      </c>
      <c r="C189" s="5" t="s">
        <v>41</v>
      </c>
      <c r="D189" s="83">
        <v>376</v>
      </c>
      <c r="E189" s="83" t="s">
        <v>319</v>
      </c>
      <c r="F189" s="292">
        <v>9713457</v>
      </c>
      <c r="G189" s="292">
        <v>0</v>
      </c>
      <c r="H189" s="292">
        <v>9713457</v>
      </c>
      <c r="I189" s="292">
        <v>0</v>
      </c>
      <c r="J189" s="292">
        <v>0</v>
      </c>
      <c r="K189" s="292">
        <v>0</v>
      </c>
      <c r="L189" s="292">
        <v>9713457</v>
      </c>
    </row>
    <row r="190" spans="1:12" x14ac:dyDescent="0.25">
      <c r="A190" s="224" t="s">
        <v>636</v>
      </c>
      <c r="B190" s="234" t="s">
        <v>140</v>
      </c>
      <c r="C190" s="5" t="s">
        <v>41</v>
      </c>
      <c r="D190" s="83">
        <v>376</v>
      </c>
      <c r="E190" s="83" t="s">
        <v>321</v>
      </c>
      <c r="F190" s="292">
        <v>11974782</v>
      </c>
      <c r="G190" s="292">
        <v>0</v>
      </c>
      <c r="H190" s="292">
        <v>11974782</v>
      </c>
      <c r="I190" s="292">
        <v>0</v>
      </c>
      <c r="J190" s="292">
        <v>0</v>
      </c>
      <c r="K190" s="292">
        <v>0</v>
      </c>
      <c r="L190" s="292">
        <v>11974782</v>
      </c>
    </row>
    <row r="191" spans="1:12" x14ac:dyDescent="0.25">
      <c r="A191" s="224" t="s">
        <v>636</v>
      </c>
      <c r="B191" s="234" t="s">
        <v>140</v>
      </c>
      <c r="C191" s="5" t="s">
        <v>41</v>
      </c>
      <c r="D191" s="83">
        <v>376</v>
      </c>
      <c r="E191" s="83" t="s">
        <v>323</v>
      </c>
      <c r="F191" s="292">
        <v>11672303</v>
      </c>
      <c r="G191" s="292">
        <v>0</v>
      </c>
      <c r="H191" s="292">
        <v>11672303</v>
      </c>
      <c r="I191" s="292">
        <v>0</v>
      </c>
      <c r="J191" s="292">
        <v>0</v>
      </c>
      <c r="K191" s="292">
        <v>0</v>
      </c>
      <c r="L191" s="292">
        <v>11672303</v>
      </c>
    </row>
    <row r="192" spans="1:12" x14ac:dyDescent="0.25">
      <c r="A192" s="202" t="s">
        <v>637</v>
      </c>
      <c r="B192" s="87" t="s">
        <v>140</v>
      </c>
      <c r="C192" s="87" t="s">
        <v>140</v>
      </c>
      <c r="D192" s="87" t="s">
        <v>140</v>
      </c>
      <c r="E192" s="87" t="s">
        <v>140</v>
      </c>
      <c r="F192" s="244">
        <f>SUBTOTAL(109,local376[Program
Costs])</f>
        <v>68077445</v>
      </c>
      <c r="G192" s="244">
        <f>SUBTOTAL(109,local376[Less: Net Payments and Offsets])</f>
        <v>0</v>
      </c>
      <c r="H192" s="244">
        <f>SUBTOTAL(109,local376[Accounts Payable
Balance])</f>
        <v>68077445</v>
      </c>
      <c r="I192" s="244">
        <f>SUBTOTAL(109,local376[Established
Accounts Receivable])</f>
        <v>0</v>
      </c>
      <c r="J192" s="244">
        <f>SUBTOTAL(109,local376[Less: Recovered Amount])</f>
        <v>0</v>
      </c>
      <c r="K192" s="244">
        <f>SUBTOTAL(109,local376[Accounts Receivable
Balance])</f>
        <v>0</v>
      </c>
      <c r="L192" s="244">
        <f>SUBTOTAL(109,local376[Net
Balance])</f>
        <v>68077445</v>
      </c>
    </row>
    <row r="193" spans="1:12" x14ac:dyDescent="0.25">
      <c r="A193" s="235" t="s">
        <v>141</v>
      </c>
      <c r="B193" s="201"/>
      <c r="C193" s="5"/>
      <c r="D193" s="83"/>
      <c r="E193" s="83"/>
      <c r="F193" s="193"/>
      <c r="G193" s="193"/>
      <c r="H193" s="193"/>
      <c r="I193" s="193"/>
      <c r="J193" s="193"/>
      <c r="K193" s="193"/>
      <c r="L193" s="193"/>
    </row>
    <row r="194" spans="1:12" ht="45" customHeight="1" x14ac:dyDescent="0.25">
      <c r="A194" s="10" t="s">
        <v>6</v>
      </c>
      <c r="B194" s="55" t="s">
        <v>142</v>
      </c>
      <c r="C194" s="10" t="s">
        <v>0</v>
      </c>
      <c r="D194" s="10" t="s">
        <v>441</v>
      </c>
      <c r="E194" s="10" t="s">
        <v>5</v>
      </c>
      <c r="F194" s="215" t="s">
        <v>234</v>
      </c>
      <c r="G194" s="216" t="s">
        <v>235</v>
      </c>
      <c r="H194" s="215" t="s">
        <v>444</v>
      </c>
      <c r="I194" s="215" t="s">
        <v>445</v>
      </c>
      <c r="J194" s="215" t="s">
        <v>446</v>
      </c>
      <c r="K194" s="215" t="s">
        <v>447</v>
      </c>
      <c r="L194" s="215" t="s">
        <v>305</v>
      </c>
    </row>
    <row r="195" spans="1:12" x14ac:dyDescent="0.25">
      <c r="A195" s="224" t="s">
        <v>638</v>
      </c>
      <c r="B195" s="234" t="s">
        <v>140</v>
      </c>
      <c r="C195" s="5" t="s">
        <v>639</v>
      </c>
      <c r="D195" s="83">
        <v>331</v>
      </c>
      <c r="E195" s="83" t="s">
        <v>321</v>
      </c>
      <c r="F195" s="292">
        <v>2500091</v>
      </c>
      <c r="G195" s="292">
        <v>0</v>
      </c>
      <c r="H195" s="292">
        <v>2500091</v>
      </c>
      <c r="I195" s="292">
        <v>0</v>
      </c>
      <c r="J195" s="292">
        <v>0</v>
      </c>
      <c r="K195" s="292">
        <v>0</v>
      </c>
      <c r="L195" s="292">
        <v>2500091</v>
      </c>
    </row>
    <row r="196" spans="1:12" x14ac:dyDescent="0.25">
      <c r="A196" s="224" t="s">
        <v>638</v>
      </c>
      <c r="B196" s="234" t="s">
        <v>140</v>
      </c>
      <c r="C196" s="5" t="s">
        <v>639</v>
      </c>
      <c r="D196" s="83">
        <v>331</v>
      </c>
      <c r="E196" s="83" t="s">
        <v>323</v>
      </c>
      <c r="F196" s="292">
        <v>649325</v>
      </c>
      <c r="G196" s="292">
        <v>0</v>
      </c>
      <c r="H196" s="292">
        <v>649325</v>
      </c>
      <c r="I196" s="292">
        <v>0</v>
      </c>
      <c r="J196" s="292">
        <v>0</v>
      </c>
      <c r="K196" s="292">
        <v>0</v>
      </c>
      <c r="L196" s="292">
        <v>649325</v>
      </c>
    </row>
    <row r="197" spans="1:12" x14ac:dyDescent="0.25">
      <c r="A197" s="224" t="s">
        <v>638</v>
      </c>
      <c r="B197" s="234" t="s">
        <v>140</v>
      </c>
      <c r="C197" s="5" t="s">
        <v>639</v>
      </c>
      <c r="D197" s="83">
        <v>331</v>
      </c>
      <c r="E197" s="83" t="s">
        <v>329</v>
      </c>
      <c r="F197" s="292">
        <v>1484457</v>
      </c>
      <c r="G197" s="292">
        <v>0</v>
      </c>
      <c r="H197" s="292">
        <v>1484457</v>
      </c>
      <c r="I197" s="292">
        <v>0</v>
      </c>
      <c r="J197" s="292">
        <v>0</v>
      </c>
      <c r="K197" s="292">
        <v>0</v>
      </c>
      <c r="L197" s="292">
        <v>1484457</v>
      </c>
    </row>
    <row r="198" spans="1:12" x14ac:dyDescent="0.25">
      <c r="A198" s="224" t="s">
        <v>638</v>
      </c>
      <c r="B198" s="234" t="s">
        <v>140</v>
      </c>
      <c r="C198" s="5" t="s">
        <v>639</v>
      </c>
      <c r="D198" s="83">
        <v>331</v>
      </c>
      <c r="E198" s="83" t="s">
        <v>343</v>
      </c>
      <c r="F198" s="292">
        <v>467811</v>
      </c>
      <c r="G198" s="292">
        <v>0</v>
      </c>
      <c r="H198" s="292">
        <v>467811</v>
      </c>
      <c r="I198" s="292">
        <v>0</v>
      </c>
      <c r="J198" s="292">
        <v>0</v>
      </c>
      <c r="K198" s="292">
        <v>0</v>
      </c>
      <c r="L198" s="292">
        <v>467811</v>
      </c>
    </row>
    <row r="199" spans="1:12" x14ac:dyDescent="0.25">
      <c r="A199" s="224" t="s">
        <v>638</v>
      </c>
      <c r="B199" s="234" t="s">
        <v>140</v>
      </c>
      <c r="C199" s="5" t="s">
        <v>639</v>
      </c>
      <c r="D199" s="83">
        <v>331</v>
      </c>
      <c r="E199" s="83" t="s">
        <v>379</v>
      </c>
      <c r="F199" s="292">
        <v>1361366</v>
      </c>
      <c r="G199" s="292">
        <v>0</v>
      </c>
      <c r="H199" s="292">
        <v>1361366</v>
      </c>
      <c r="I199" s="292">
        <v>0</v>
      </c>
      <c r="J199" s="292">
        <v>0</v>
      </c>
      <c r="K199" s="292">
        <v>0</v>
      </c>
      <c r="L199" s="292">
        <v>1361366</v>
      </c>
    </row>
    <row r="200" spans="1:12" x14ac:dyDescent="0.25">
      <c r="A200" s="224" t="s">
        <v>638</v>
      </c>
      <c r="B200" s="234" t="s">
        <v>140</v>
      </c>
      <c r="C200" s="5" t="s">
        <v>639</v>
      </c>
      <c r="D200" s="83">
        <v>331</v>
      </c>
      <c r="E200" s="83" t="s">
        <v>391</v>
      </c>
      <c r="F200" s="292">
        <v>418990</v>
      </c>
      <c r="G200" s="292">
        <v>0</v>
      </c>
      <c r="H200" s="292">
        <v>418990</v>
      </c>
      <c r="I200" s="292">
        <v>0</v>
      </c>
      <c r="J200" s="292">
        <v>0</v>
      </c>
      <c r="K200" s="292">
        <v>0</v>
      </c>
      <c r="L200" s="292">
        <v>418990</v>
      </c>
    </row>
    <row r="201" spans="1:12" x14ac:dyDescent="0.25">
      <c r="A201" s="224" t="s">
        <v>638</v>
      </c>
      <c r="B201" s="234" t="s">
        <v>140</v>
      </c>
      <c r="C201" s="5" t="s">
        <v>639</v>
      </c>
      <c r="D201" s="83">
        <v>331</v>
      </c>
      <c r="E201" s="83" t="s">
        <v>397</v>
      </c>
      <c r="F201" s="292">
        <v>695563</v>
      </c>
      <c r="G201" s="292">
        <v>0</v>
      </c>
      <c r="H201" s="292">
        <v>695563</v>
      </c>
      <c r="I201" s="292">
        <v>0</v>
      </c>
      <c r="J201" s="292">
        <v>0</v>
      </c>
      <c r="K201" s="292">
        <v>0</v>
      </c>
      <c r="L201" s="292">
        <v>695563</v>
      </c>
    </row>
    <row r="202" spans="1:12" x14ac:dyDescent="0.25">
      <c r="A202" s="224" t="s">
        <v>638</v>
      </c>
      <c r="B202" s="234" t="s">
        <v>140</v>
      </c>
      <c r="C202" s="5" t="s">
        <v>639</v>
      </c>
      <c r="D202" s="83">
        <v>331</v>
      </c>
      <c r="E202" s="83" t="s">
        <v>399</v>
      </c>
      <c r="F202" s="292">
        <v>427478</v>
      </c>
      <c r="G202" s="292">
        <v>0</v>
      </c>
      <c r="H202" s="292">
        <v>427478</v>
      </c>
      <c r="I202" s="292">
        <v>0</v>
      </c>
      <c r="J202" s="292">
        <v>0</v>
      </c>
      <c r="K202" s="292">
        <v>0</v>
      </c>
      <c r="L202" s="292">
        <v>427478</v>
      </c>
    </row>
    <row r="203" spans="1:12" x14ac:dyDescent="0.25">
      <c r="A203" s="224" t="s">
        <v>638</v>
      </c>
      <c r="B203" s="234" t="s">
        <v>140</v>
      </c>
      <c r="C203" s="5" t="s">
        <v>639</v>
      </c>
      <c r="D203" s="83">
        <v>331</v>
      </c>
      <c r="E203" s="83" t="s">
        <v>401</v>
      </c>
      <c r="F203" s="292">
        <v>1088135</v>
      </c>
      <c r="G203" s="292">
        <v>0</v>
      </c>
      <c r="H203" s="292">
        <v>1088135</v>
      </c>
      <c r="I203" s="292">
        <v>0</v>
      </c>
      <c r="J203" s="292">
        <v>0</v>
      </c>
      <c r="K203" s="292">
        <v>0</v>
      </c>
      <c r="L203" s="292">
        <v>1088135</v>
      </c>
    </row>
    <row r="204" spans="1:12" x14ac:dyDescent="0.25">
      <c r="A204" s="224" t="s">
        <v>638</v>
      </c>
      <c r="B204" s="234" t="s">
        <v>140</v>
      </c>
      <c r="C204" s="5" t="s">
        <v>639</v>
      </c>
      <c r="D204" s="83">
        <v>331</v>
      </c>
      <c r="E204" s="83" t="s">
        <v>403</v>
      </c>
      <c r="F204" s="292">
        <v>514260</v>
      </c>
      <c r="G204" s="292">
        <v>0</v>
      </c>
      <c r="H204" s="292">
        <v>514260</v>
      </c>
      <c r="I204" s="292">
        <v>0</v>
      </c>
      <c r="J204" s="292">
        <v>0</v>
      </c>
      <c r="K204" s="292">
        <v>0</v>
      </c>
      <c r="L204" s="292">
        <v>514260</v>
      </c>
    </row>
    <row r="205" spans="1:12" x14ac:dyDescent="0.25">
      <c r="A205" s="224" t="s">
        <v>638</v>
      </c>
      <c r="B205" s="234" t="s">
        <v>140</v>
      </c>
      <c r="C205" s="5" t="s">
        <v>639</v>
      </c>
      <c r="D205" s="83">
        <v>331</v>
      </c>
      <c r="E205" s="83" t="s">
        <v>405</v>
      </c>
      <c r="F205" s="292">
        <v>467915</v>
      </c>
      <c r="G205" s="292">
        <v>0</v>
      </c>
      <c r="H205" s="292">
        <v>467915</v>
      </c>
      <c r="I205" s="292">
        <v>0</v>
      </c>
      <c r="J205" s="292">
        <v>0</v>
      </c>
      <c r="K205" s="292">
        <v>0</v>
      </c>
      <c r="L205" s="292">
        <v>467915</v>
      </c>
    </row>
    <row r="206" spans="1:12" x14ac:dyDescent="0.25">
      <c r="A206" s="202" t="s">
        <v>640</v>
      </c>
      <c r="B206" s="87" t="s">
        <v>140</v>
      </c>
      <c r="C206" s="87" t="s">
        <v>140</v>
      </c>
      <c r="D206" s="87" t="s">
        <v>140</v>
      </c>
      <c r="E206" s="87" t="s">
        <v>140</v>
      </c>
      <c r="F206" s="244">
        <f>SUBTOTAL(109,local331[Program
Costs])</f>
        <v>10075391</v>
      </c>
      <c r="G206" s="244">
        <f>SUBTOTAL(109,local331[Less: Net Payments and Offsets])</f>
        <v>0</v>
      </c>
      <c r="H206" s="244">
        <f>SUBTOTAL(109,local331[Accounts Payable
Balance])</f>
        <v>10075391</v>
      </c>
      <c r="I206" s="244">
        <f>SUBTOTAL(109,local331[Established
Accounts Receivable])</f>
        <v>0</v>
      </c>
      <c r="J206" s="244">
        <f>SUBTOTAL(109,local331[Less: Recovered Amount])</f>
        <v>0</v>
      </c>
      <c r="K206" s="244">
        <f>SUBTOTAL(109,local331[Accounts Receivable
Balance])</f>
        <v>0</v>
      </c>
      <c r="L206" s="244">
        <f>SUBTOTAL(109,local331[Net
Balance])</f>
        <v>10075391</v>
      </c>
    </row>
    <row r="207" spans="1:12" x14ac:dyDescent="0.25">
      <c r="A207" s="235" t="s">
        <v>141</v>
      </c>
      <c r="B207" s="201"/>
      <c r="C207" s="5"/>
      <c r="D207" s="83"/>
      <c r="E207" s="83"/>
      <c r="F207" s="193"/>
      <c r="G207" s="193"/>
      <c r="H207" s="193"/>
      <c r="I207" s="193"/>
      <c r="J207" s="193"/>
      <c r="K207" s="193"/>
      <c r="L207" s="193"/>
    </row>
    <row r="208" spans="1:12" ht="45" customHeight="1" x14ac:dyDescent="0.25">
      <c r="A208" s="10" t="s">
        <v>6</v>
      </c>
      <c r="B208" s="55" t="s">
        <v>142</v>
      </c>
      <c r="C208" s="10" t="s">
        <v>0</v>
      </c>
      <c r="D208" s="10" t="s">
        <v>441</v>
      </c>
      <c r="E208" s="10" t="s">
        <v>5</v>
      </c>
      <c r="F208" s="215" t="s">
        <v>234</v>
      </c>
      <c r="G208" s="216" t="s">
        <v>235</v>
      </c>
      <c r="H208" s="215" t="s">
        <v>444</v>
      </c>
      <c r="I208" s="215" t="s">
        <v>445</v>
      </c>
      <c r="J208" s="215" t="s">
        <v>446</v>
      </c>
      <c r="K208" s="215" t="s">
        <v>447</v>
      </c>
      <c r="L208" s="215" t="s">
        <v>305</v>
      </c>
    </row>
    <row r="209" spans="1:12" x14ac:dyDescent="0.25">
      <c r="A209" s="203" t="s">
        <v>600</v>
      </c>
      <c r="B209" s="204" t="s">
        <v>140</v>
      </c>
      <c r="C209" s="204" t="s">
        <v>140</v>
      </c>
      <c r="D209" s="204" t="s">
        <v>140</v>
      </c>
      <c r="E209" s="204" t="s">
        <v>140</v>
      </c>
      <c r="F209" s="274">
        <v>216176</v>
      </c>
      <c r="G209" s="274">
        <v>0</v>
      </c>
      <c r="H209" s="274">
        <v>216176</v>
      </c>
      <c r="I209" s="274">
        <v>0</v>
      </c>
      <c r="J209" s="274">
        <v>0</v>
      </c>
      <c r="K209" s="274">
        <v>0</v>
      </c>
      <c r="L209" s="274">
        <v>216176</v>
      </c>
    </row>
    <row r="210" spans="1:12" x14ac:dyDescent="0.25">
      <c r="A210" s="205" t="s">
        <v>603</v>
      </c>
      <c r="B210" s="174" t="s">
        <v>140</v>
      </c>
      <c r="C210" s="174" t="s">
        <v>140</v>
      </c>
      <c r="D210" s="174" t="s">
        <v>140</v>
      </c>
      <c r="E210" s="174" t="s">
        <v>140</v>
      </c>
      <c r="F210" s="243">
        <v>128607437</v>
      </c>
      <c r="G210" s="243">
        <v>0</v>
      </c>
      <c r="H210" s="243">
        <v>128607437</v>
      </c>
      <c r="I210" s="243">
        <v>0</v>
      </c>
      <c r="J210" s="243">
        <v>0</v>
      </c>
      <c r="K210" s="243">
        <v>0</v>
      </c>
      <c r="L210" s="243">
        <v>128607437</v>
      </c>
    </row>
    <row r="211" spans="1:12" x14ac:dyDescent="0.25">
      <c r="A211" s="205" t="s">
        <v>606</v>
      </c>
      <c r="B211" s="174" t="s">
        <v>140</v>
      </c>
      <c r="C211" s="174" t="s">
        <v>140</v>
      </c>
      <c r="D211" s="174" t="s">
        <v>140</v>
      </c>
      <c r="E211" s="174" t="s">
        <v>140</v>
      </c>
      <c r="F211" s="243">
        <v>2009608</v>
      </c>
      <c r="G211" s="243">
        <v>0</v>
      </c>
      <c r="H211" s="243">
        <v>2009608</v>
      </c>
      <c r="I211" s="243">
        <v>0</v>
      </c>
      <c r="J211" s="243">
        <v>0</v>
      </c>
      <c r="K211" s="243">
        <v>0</v>
      </c>
      <c r="L211" s="243">
        <v>2009608</v>
      </c>
    </row>
    <row r="212" spans="1:12" x14ac:dyDescent="0.25">
      <c r="A212" s="205" t="s">
        <v>609</v>
      </c>
      <c r="B212" s="174" t="s">
        <v>140</v>
      </c>
      <c r="C212" s="174" t="s">
        <v>140</v>
      </c>
      <c r="D212" s="174" t="s">
        <v>140</v>
      </c>
      <c r="E212" s="174" t="s">
        <v>140</v>
      </c>
      <c r="F212" s="243">
        <v>11927294</v>
      </c>
      <c r="G212" s="243">
        <v>0</v>
      </c>
      <c r="H212" s="243">
        <v>11927294</v>
      </c>
      <c r="I212" s="243">
        <v>0</v>
      </c>
      <c r="J212" s="243">
        <v>0</v>
      </c>
      <c r="K212" s="243">
        <v>0</v>
      </c>
      <c r="L212" s="243">
        <v>11927294</v>
      </c>
    </row>
    <row r="213" spans="1:12" x14ac:dyDescent="0.25">
      <c r="A213" s="205" t="s">
        <v>612</v>
      </c>
      <c r="B213" s="174" t="s">
        <v>140</v>
      </c>
      <c r="C213" s="174" t="s">
        <v>140</v>
      </c>
      <c r="D213" s="174" t="s">
        <v>140</v>
      </c>
      <c r="E213" s="174" t="s">
        <v>140</v>
      </c>
      <c r="F213" s="243">
        <v>157256</v>
      </c>
      <c r="G213" s="243">
        <v>0</v>
      </c>
      <c r="H213" s="243">
        <v>157256</v>
      </c>
      <c r="I213" s="243">
        <v>0</v>
      </c>
      <c r="J213" s="243">
        <v>0</v>
      </c>
      <c r="K213" s="243">
        <v>0</v>
      </c>
      <c r="L213" s="243">
        <v>157256</v>
      </c>
    </row>
    <row r="214" spans="1:12" x14ac:dyDescent="0.25">
      <c r="A214" s="205" t="s">
        <v>615</v>
      </c>
      <c r="B214" s="174" t="s">
        <v>140</v>
      </c>
      <c r="C214" s="174" t="s">
        <v>140</v>
      </c>
      <c r="D214" s="174" t="s">
        <v>140</v>
      </c>
      <c r="E214" s="174" t="s">
        <v>140</v>
      </c>
      <c r="F214" s="243">
        <v>66902262</v>
      </c>
      <c r="G214" s="243">
        <v>0</v>
      </c>
      <c r="H214" s="243">
        <v>66902262</v>
      </c>
      <c r="I214" s="243">
        <v>0</v>
      </c>
      <c r="J214" s="243">
        <v>0</v>
      </c>
      <c r="K214" s="243">
        <v>0</v>
      </c>
      <c r="L214" s="243">
        <v>66902262</v>
      </c>
    </row>
    <row r="215" spans="1:12" x14ac:dyDescent="0.25">
      <c r="A215" s="205" t="s">
        <v>618</v>
      </c>
      <c r="B215" s="174" t="s">
        <v>140</v>
      </c>
      <c r="C215" s="174" t="s">
        <v>140</v>
      </c>
      <c r="D215" s="174" t="s">
        <v>140</v>
      </c>
      <c r="E215" s="174" t="s">
        <v>140</v>
      </c>
      <c r="F215" s="243">
        <v>60867315</v>
      </c>
      <c r="G215" s="243">
        <v>0</v>
      </c>
      <c r="H215" s="243">
        <v>60867315</v>
      </c>
      <c r="I215" s="243">
        <v>0</v>
      </c>
      <c r="J215" s="243">
        <v>0</v>
      </c>
      <c r="K215" s="243">
        <v>0</v>
      </c>
      <c r="L215" s="243">
        <v>60867315</v>
      </c>
    </row>
    <row r="216" spans="1:12" x14ac:dyDescent="0.25">
      <c r="A216" s="205" t="s">
        <v>621</v>
      </c>
      <c r="B216" s="174" t="s">
        <v>140</v>
      </c>
      <c r="C216" s="174" t="s">
        <v>140</v>
      </c>
      <c r="D216" s="174" t="s">
        <v>140</v>
      </c>
      <c r="E216" s="174" t="s">
        <v>140</v>
      </c>
      <c r="F216" s="243">
        <v>5390</v>
      </c>
      <c r="G216" s="243">
        <v>0</v>
      </c>
      <c r="H216" s="243">
        <v>5390</v>
      </c>
      <c r="I216" s="243">
        <v>0</v>
      </c>
      <c r="J216" s="243">
        <v>0</v>
      </c>
      <c r="K216" s="243">
        <v>0</v>
      </c>
      <c r="L216" s="243">
        <v>5390</v>
      </c>
    </row>
    <row r="217" spans="1:12" x14ac:dyDescent="0.25">
      <c r="A217" s="205" t="s">
        <v>624</v>
      </c>
      <c r="B217" s="174" t="s">
        <v>140</v>
      </c>
      <c r="C217" s="174" t="s">
        <v>140</v>
      </c>
      <c r="D217" s="174" t="s">
        <v>140</v>
      </c>
      <c r="E217" s="174" t="s">
        <v>140</v>
      </c>
      <c r="F217" s="243">
        <v>27019608</v>
      </c>
      <c r="G217" s="243">
        <v>0</v>
      </c>
      <c r="H217" s="243">
        <v>27019608</v>
      </c>
      <c r="I217" s="243">
        <v>0</v>
      </c>
      <c r="J217" s="243">
        <v>0</v>
      </c>
      <c r="K217" s="243">
        <v>0</v>
      </c>
      <c r="L217" s="243">
        <v>27019608</v>
      </c>
    </row>
    <row r="218" spans="1:12" x14ac:dyDescent="0.25">
      <c r="A218" s="205" t="s">
        <v>627</v>
      </c>
      <c r="B218" s="174" t="s">
        <v>140</v>
      </c>
      <c r="C218" s="174" t="s">
        <v>140</v>
      </c>
      <c r="D218" s="174" t="s">
        <v>140</v>
      </c>
      <c r="E218" s="174" t="s">
        <v>140</v>
      </c>
      <c r="F218" s="243">
        <v>4909840</v>
      </c>
      <c r="G218" s="243">
        <v>0</v>
      </c>
      <c r="H218" s="243">
        <v>4909840</v>
      </c>
      <c r="I218" s="243">
        <v>0</v>
      </c>
      <c r="J218" s="243">
        <v>0</v>
      </c>
      <c r="K218" s="243">
        <v>0</v>
      </c>
      <c r="L218" s="243">
        <v>4909840</v>
      </c>
    </row>
    <row r="219" spans="1:12" x14ac:dyDescent="0.25">
      <c r="A219" s="205" t="s">
        <v>630</v>
      </c>
      <c r="B219" s="174" t="s">
        <v>140</v>
      </c>
      <c r="C219" s="174" t="s">
        <v>140</v>
      </c>
      <c r="D219" s="174" t="s">
        <v>140</v>
      </c>
      <c r="E219" s="174" t="s">
        <v>140</v>
      </c>
      <c r="F219" s="243">
        <v>1816619</v>
      </c>
      <c r="G219" s="243">
        <v>0</v>
      </c>
      <c r="H219" s="243">
        <v>1816619</v>
      </c>
      <c r="I219" s="243">
        <v>0</v>
      </c>
      <c r="J219" s="243">
        <v>0</v>
      </c>
      <c r="K219" s="243">
        <v>0</v>
      </c>
      <c r="L219" s="243">
        <v>1816619</v>
      </c>
    </row>
    <row r="220" spans="1:12" x14ac:dyDescent="0.25">
      <c r="A220" s="205" t="s">
        <v>632</v>
      </c>
      <c r="B220" s="174" t="s">
        <v>140</v>
      </c>
      <c r="C220" s="174" t="s">
        <v>140</v>
      </c>
      <c r="D220" s="174" t="s">
        <v>140</v>
      </c>
      <c r="E220" s="174" t="s">
        <v>140</v>
      </c>
      <c r="F220" s="243">
        <v>9234052</v>
      </c>
      <c r="G220" s="243">
        <v>0</v>
      </c>
      <c r="H220" s="243">
        <v>9234052</v>
      </c>
      <c r="I220" s="243">
        <v>0</v>
      </c>
      <c r="J220" s="243">
        <v>0</v>
      </c>
      <c r="K220" s="243">
        <v>0</v>
      </c>
      <c r="L220" s="243">
        <v>9234052</v>
      </c>
    </row>
    <row r="221" spans="1:12" x14ac:dyDescent="0.25">
      <c r="A221" s="205" t="s">
        <v>635</v>
      </c>
      <c r="B221" s="174" t="s">
        <v>140</v>
      </c>
      <c r="C221" s="174" t="s">
        <v>140</v>
      </c>
      <c r="D221" s="174" t="s">
        <v>140</v>
      </c>
      <c r="E221" s="174" t="s">
        <v>140</v>
      </c>
      <c r="F221" s="243">
        <v>11906707</v>
      </c>
      <c r="G221" s="243">
        <v>0</v>
      </c>
      <c r="H221" s="243">
        <v>11906707</v>
      </c>
      <c r="I221" s="243">
        <v>0</v>
      </c>
      <c r="J221" s="243">
        <v>0</v>
      </c>
      <c r="K221" s="243">
        <v>0</v>
      </c>
      <c r="L221" s="243">
        <v>11906707</v>
      </c>
    </row>
    <row r="222" spans="1:12" x14ac:dyDescent="0.25">
      <c r="A222" s="205" t="s">
        <v>637</v>
      </c>
      <c r="B222" s="174" t="s">
        <v>140</v>
      </c>
      <c r="C222" s="174" t="s">
        <v>140</v>
      </c>
      <c r="D222" s="174" t="s">
        <v>140</v>
      </c>
      <c r="E222" s="174" t="s">
        <v>140</v>
      </c>
      <c r="F222" s="243">
        <v>68077445</v>
      </c>
      <c r="G222" s="243">
        <v>0</v>
      </c>
      <c r="H222" s="243">
        <v>68077445</v>
      </c>
      <c r="I222" s="243">
        <v>0</v>
      </c>
      <c r="J222" s="243">
        <v>0</v>
      </c>
      <c r="K222" s="243">
        <v>0</v>
      </c>
      <c r="L222" s="243">
        <v>68077445</v>
      </c>
    </row>
    <row r="223" spans="1:12" x14ac:dyDescent="0.25">
      <c r="A223" s="205" t="s">
        <v>640</v>
      </c>
      <c r="B223" s="174" t="s">
        <v>140</v>
      </c>
      <c r="C223" s="174" t="s">
        <v>140</v>
      </c>
      <c r="D223" s="174" t="s">
        <v>140</v>
      </c>
      <c r="E223" s="174" t="s">
        <v>140</v>
      </c>
      <c r="F223" s="243">
        <v>10075391</v>
      </c>
      <c r="G223" s="243">
        <v>0</v>
      </c>
      <c r="H223" s="243">
        <v>10075391</v>
      </c>
      <c r="I223" s="243">
        <v>0</v>
      </c>
      <c r="J223" s="243">
        <v>0</v>
      </c>
      <c r="K223" s="243">
        <v>0</v>
      </c>
      <c r="L223" s="243">
        <v>10075391</v>
      </c>
    </row>
    <row r="224" spans="1:12" x14ac:dyDescent="0.25">
      <c r="A224" s="202" t="s">
        <v>250</v>
      </c>
      <c r="B224" s="87" t="s">
        <v>140</v>
      </c>
      <c r="C224" s="87" t="s">
        <v>140</v>
      </c>
      <c r="D224" s="87" t="s">
        <v>140</v>
      </c>
      <c r="E224" s="87" t="s">
        <v>140</v>
      </c>
      <c r="F224" s="244">
        <f>SUBTOTAL(109,localunfundedgrandtotal[Program
Costs])</f>
        <v>403732400</v>
      </c>
      <c r="G224" s="244">
        <f>SUBTOTAL(109,localunfundedgrandtotal[Less: Net Payments and Offsets])</f>
        <v>0</v>
      </c>
      <c r="H224" s="244">
        <f>SUBTOTAL(109,localunfundedgrandtotal[Accounts Payable
Balance])</f>
        <v>403732400</v>
      </c>
      <c r="I224" s="244">
        <f>SUBTOTAL(109,localunfundedgrandtotal[Established
Accounts Receivable])</f>
        <v>0</v>
      </c>
      <c r="J224" s="244">
        <f>SUBTOTAL(109,localunfundedgrandtotal[Less: Recovered Amount])</f>
        <v>0</v>
      </c>
      <c r="K224" s="244">
        <f>SUBTOTAL(109,localunfundedgrandtotal[Accounts Receivable
Balance])</f>
        <v>0</v>
      </c>
      <c r="L224" s="244">
        <f>SUBTOTAL(109,localunfundedgrandtotal[Net
Balance])</f>
        <v>403732400</v>
      </c>
    </row>
    <row r="225" spans="1:12" x14ac:dyDescent="0.25">
      <c r="A225" s="235" t="s">
        <v>141</v>
      </c>
      <c r="B225" s="201"/>
      <c r="C225" s="5"/>
      <c r="D225" s="83"/>
      <c r="E225" s="83"/>
      <c r="F225" s="193"/>
      <c r="G225" s="193"/>
      <c r="H225" s="193"/>
      <c r="I225" s="193"/>
      <c r="J225" s="193"/>
      <c r="K225" s="193"/>
      <c r="L225" s="193"/>
    </row>
    <row r="226" spans="1:12" ht="45" customHeight="1" x14ac:dyDescent="0.25">
      <c r="A226" s="10" t="s">
        <v>6</v>
      </c>
      <c r="B226" s="55" t="s">
        <v>142</v>
      </c>
      <c r="C226" s="10" t="s">
        <v>0</v>
      </c>
      <c r="D226" s="10" t="s">
        <v>441</v>
      </c>
      <c r="E226" s="10" t="s">
        <v>5</v>
      </c>
      <c r="F226" s="215" t="s">
        <v>234</v>
      </c>
      <c r="G226" s="216" t="s">
        <v>235</v>
      </c>
      <c r="H226" s="215" t="s">
        <v>444</v>
      </c>
      <c r="I226" s="215" t="s">
        <v>445</v>
      </c>
      <c r="J226" s="215" t="s">
        <v>446</v>
      </c>
      <c r="K226" s="215" t="s">
        <v>447</v>
      </c>
      <c r="L226" s="215" t="s">
        <v>305</v>
      </c>
    </row>
    <row r="227" spans="1:12" x14ac:dyDescent="0.25">
      <c r="A227" s="203" t="s">
        <v>1</v>
      </c>
      <c r="B227" s="204" t="s">
        <v>140</v>
      </c>
      <c r="C227" s="204" t="s">
        <v>140</v>
      </c>
      <c r="D227" s="204" t="s">
        <v>140</v>
      </c>
      <c r="E227" s="204" t="s">
        <v>140</v>
      </c>
      <c r="F227" s="274">
        <v>403732400</v>
      </c>
      <c r="G227" s="274">
        <v>0</v>
      </c>
      <c r="H227" s="274">
        <v>403732400</v>
      </c>
      <c r="I227" s="274">
        <v>0</v>
      </c>
      <c r="J227" s="274">
        <v>0</v>
      </c>
      <c r="K227" s="274">
        <v>0</v>
      </c>
      <c r="L227" s="274">
        <v>403732400</v>
      </c>
    </row>
    <row r="228" spans="1:12" ht="18.75" x14ac:dyDescent="0.25">
      <c r="A228" s="300" t="s">
        <v>651</v>
      </c>
      <c r="B228" s="87" t="s">
        <v>641</v>
      </c>
      <c r="C228" s="87" t="s">
        <v>140</v>
      </c>
      <c r="D228" s="87" t="s">
        <v>140</v>
      </c>
      <c r="E228" s="87" t="s">
        <v>140</v>
      </c>
      <c r="F228" s="244">
        <f>SUBTOTAL(109,unfundedgrandtotal[Program
Costs])</f>
        <v>403732400</v>
      </c>
      <c r="G228" s="244">
        <f>SUBTOTAL(109,unfundedgrandtotal[Less: Net Payments and Offsets])</f>
        <v>0</v>
      </c>
      <c r="H228" s="244">
        <f>SUBTOTAL(109,unfundedgrandtotal[Accounts Payable
Balance])</f>
        <v>403732400</v>
      </c>
      <c r="I228" s="244">
        <f>SUBTOTAL(109,unfundedgrandtotal[Established
Accounts Receivable])</f>
        <v>0</v>
      </c>
      <c r="J228" s="244">
        <f>SUBTOTAL(109,unfundedgrandtotal[Less: Recovered Amount])</f>
        <v>0</v>
      </c>
      <c r="K228" s="244">
        <f>SUBTOTAL(109,unfundedgrandtotal[Accounts Receivable
Balance])</f>
        <v>0</v>
      </c>
      <c r="L228" s="244">
        <f>SUBTOTAL(109,unfundedgrandtotal[Net
Balance])</f>
        <v>403732400</v>
      </c>
    </row>
    <row r="229" spans="1:12" x14ac:dyDescent="0.25">
      <c r="A229" s="5" t="s">
        <v>642</v>
      </c>
      <c r="B229" s="237"/>
      <c r="C229" s="89"/>
      <c r="E229" s="89"/>
      <c r="F229" s="238"/>
      <c r="G229" s="239"/>
      <c r="H229" s="238"/>
      <c r="I229" s="239"/>
      <c r="J229" s="239"/>
      <c r="K229" s="238"/>
      <c r="L229" s="238"/>
    </row>
    <row r="230" spans="1:12" ht="18.75" x14ac:dyDescent="0.25">
      <c r="A230" s="5" t="s">
        <v>643</v>
      </c>
    </row>
  </sheetData>
  <hyperlinks>
    <hyperlink ref="A228" location="'Schedule B2-Local Agencies'!A229" display="Total Unfunded Mandates8"/>
  </hyperlinks>
  <printOptions horizontalCentered="1" gridLines="1"/>
  <pageMargins left="0.3" right="0.3" top="0.75" bottom="0.75" header="0.3" footer="0.3"/>
  <pageSetup scale="56" fitToHeight="0" orientation="landscape" r:id="rId1"/>
  <headerFooter>
    <oddFooter xml:space="preserve">&amp;L  Schedule B2: Detail of Unfunded State-Mandated Programs 
  Local Agencies&amp;RPage &amp;P of &amp;N  </oddFooter>
  </headerFooter>
  <legacyDrawing r:id="rId2"/>
  <tableParts count="17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7"/>
  <sheetViews>
    <sheetView zoomScaleNormal="100" zoomScalePageLayoutView="80" workbookViewId="0">
      <selection activeCell="A4" sqref="A4"/>
    </sheetView>
  </sheetViews>
  <sheetFormatPr defaultColWidth="9.140625" defaultRowHeight="15" x14ac:dyDescent="0.2"/>
  <cols>
    <col min="1" max="1" width="43.5703125" style="180" customWidth="1"/>
    <col min="2" max="2" width="10.7109375" style="34" customWidth="1"/>
    <col min="3" max="3" width="13" style="34" customWidth="1"/>
    <col min="4" max="4" width="12.7109375" style="181" customWidth="1"/>
    <col min="5" max="5" width="20.5703125" style="182" customWidth="1"/>
    <col min="6" max="6" width="14.5703125" style="34" customWidth="1"/>
    <col min="7" max="7" width="35.28515625" style="34" customWidth="1"/>
    <col min="8" max="8" width="31.85546875" style="34" customWidth="1"/>
    <col min="9" max="9" width="14.7109375" style="34" customWidth="1"/>
    <col min="10" max="10" width="16.5703125" style="34" customWidth="1"/>
    <col min="11" max="11" width="8.7109375" style="34" customWidth="1"/>
    <col min="12" max="12" width="16" style="184" customWidth="1"/>
    <col min="13" max="13" width="17.85546875" style="34" customWidth="1"/>
    <col min="14" max="14" width="16.28515625" style="34" customWidth="1"/>
    <col min="15" max="15" width="18.42578125" style="34" customWidth="1"/>
    <col min="16" max="16384" width="9.140625" style="34"/>
  </cols>
  <sheetData>
    <row r="1" spans="1:13" ht="54" x14ac:dyDescent="0.25">
      <c r="A1" s="167" t="s">
        <v>280</v>
      </c>
      <c r="B1" s="168"/>
      <c r="C1" s="168"/>
      <c r="D1" s="169"/>
      <c r="E1" s="170"/>
      <c r="F1" s="168"/>
      <c r="G1" s="168"/>
      <c r="H1" s="168"/>
      <c r="I1" s="168"/>
      <c r="J1" s="168"/>
      <c r="K1" s="168"/>
      <c r="L1" s="169"/>
    </row>
    <row r="2" spans="1:13" ht="31.5" x14ac:dyDescent="0.25">
      <c r="A2" s="171" t="s">
        <v>281</v>
      </c>
      <c r="B2" s="10" t="s">
        <v>282</v>
      </c>
      <c r="C2" s="10" t="s">
        <v>283</v>
      </c>
      <c r="D2" s="172" t="s">
        <v>284</v>
      </c>
      <c r="E2" s="172" t="s">
        <v>285</v>
      </c>
      <c r="F2" s="10" t="s">
        <v>286</v>
      </c>
      <c r="G2" s="10" t="s">
        <v>287</v>
      </c>
      <c r="H2" s="10" t="s">
        <v>5</v>
      </c>
      <c r="I2" s="10" t="s">
        <v>288</v>
      </c>
      <c r="J2" s="10" t="s">
        <v>289</v>
      </c>
      <c r="K2" s="10" t="s">
        <v>290</v>
      </c>
      <c r="L2" s="172" t="s">
        <v>291</v>
      </c>
    </row>
    <row r="3" spans="1:13" s="178" customFormat="1" ht="60" customHeight="1" x14ac:dyDescent="0.2">
      <c r="A3" s="173">
        <v>1</v>
      </c>
      <c r="B3" s="174" t="s">
        <v>140</v>
      </c>
      <c r="C3" s="143" t="s">
        <v>292</v>
      </c>
      <c r="D3" s="175">
        <v>44916</v>
      </c>
      <c r="E3" s="176" t="s">
        <v>293</v>
      </c>
      <c r="F3" s="143" t="s">
        <v>294</v>
      </c>
      <c r="G3" s="162" t="s">
        <v>295</v>
      </c>
      <c r="H3" s="162" t="s">
        <v>296</v>
      </c>
      <c r="I3" s="243">
        <v>2295922</v>
      </c>
      <c r="J3" s="162" t="s">
        <v>68</v>
      </c>
      <c r="K3" s="143" t="s">
        <v>297</v>
      </c>
      <c r="L3" s="175">
        <v>45261</v>
      </c>
      <c r="M3" s="177"/>
    </row>
    <row r="4" spans="1:13" ht="47.25" customHeight="1" x14ac:dyDescent="0.25">
      <c r="A4" s="179" t="s">
        <v>298</v>
      </c>
      <c r="B4" s="87" t="s">
        <v>140</v>
      </c>
      <c r="C4" s="87" t="s">
        <v>140</v>
      </c>
      <c r="D4" s="87" t="s">
        <v>140</v>
      </c>
      <c r="E4" s="87" t="s">
        <v>140</v>
      </c>
      <c r="F4" s="87" t="s">
        <v>140</v>
      </c>
      <c r="G4" s="87" t="s">
        <v>140</v>
      </c>
      <c r="H4" s="87" t="s">
        <v>140</v>
      </c>
      <c r="I4" s="244">
        <f>SUBTOTAL(109,schedulec[Amount
of Claim])</f>
        <v>2295922</v>
      </c>
      <c r="J4" s="87" t="s">
        <v>140</v>
      </c>
      <c r="K4" s="87" t="s">
        <v>140</v>
      </c>
      <c r="L4" s="87" t="s">
        <v>140</v>
      </c>
    </row>
    <row r="5" spans="1:13" ht="15.75" customHeight="1" x14ac:dyDescent="0.2">
      <c r="H5" s="162"/>
      <c r="I5" s="183"/>
    </row>
    <row r="6" spans="1:13" ht="15.75" customHeight="1" x14ac:dyDescent="0.2">
      <c r="I6" s="183"/>
    </row>
    <row r="7" spans="1:13" x14ac:dyDescent="0.2">
      <c r="I7" s="183"/>
    </row>
  </sheetData>
  <printOptions horizontalCentered="1" gridLines="1"/>
  <pageMargins left="0.25" right="0.25" top="0.75" bottom="0.75" header="0.3" footer="0.3"/>
  <pageSetup scale="56" fitToHeight="0" orientation="landscape" r:id="rId1"/>
  <headerFooter>
    <oddFooter>&amp;L
Schedule C : Outstanding Incorrect Reduction Claims Filed with the Commission on State Mandates&amp;RPage &amp;P of &amp;N</oddFooter>
  </headerFooter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zoomScaleNormal="100" workbookViewId="0">
      <selection activeCell="B1" sqref="B1"/>
    </sheetView>
  </sheetViews>
  <sheetFormatPr defaultRowHeight="15" x14ac:dyDescent="0.25"/>
  <cols>
    <col min="1" max="1" width="20" bestFit="1" customWidth="1"/>
    <col min="2" max="2" width="117.42578125" bestFit="1" customWidth="1"/>
    <col min="3" max="3" width="10.5703125" bestFit="1" customWidth="1"/>
  </cols>
  <sheetData>
    <row r="1" spans="1:3" ht="20.25" x14ac:dyDescent="0.25">
      <c r="A1" s="90" t="s">
        <v>175</v>
      </c>
      <c r="B1" s="91"/>
      <c r="C1" s="91"/>
    </row>
    <row r="2" spans="1:3" ht="20.25" x14ac:dyDescent="0.25">
      <c r="A2" s="90" t="s">
        <v>198</v>
      </c>
      <c r="B2" s="91"/>
      <c r="C2" s="91"/>
    </row>
    <row r="3" spans="1:3" ht="20.25" x14ac:dyDescent="0.25">
      <c r="A3" s="90" t="s">
        <v>199</v>
      </c>
      <c r="B3" s="91"/>
      <c r="C3" s="91"/>
    </row>
    <row r="4" spans="1:3" ht="20.25" x14ac:dyDescent="0.25">
      <c r="A4" s="90" t="s">
        <v>176</v>
      </c>
      <c r="B4" s="91"/>
      <c r="C4" s="91"/>
    </row>
    <row r="5" spans="1:3" ht="18" x14ac:dyDescent="0.25">
      <c r="A5" s="92" t="s">
        <v>196</v>
      </c>
      <c r="B5" s="91"/>
      <c r="C5" s="91"/>
    </row>
    <row r="6" spans="1:3" ht="18" x14ac:dyDescent="0.25">
      <c r="A6" s="93" t="s">
        <v>200</v>
      </c>
      <c r="B6" s="91"/>
      <c r="C6" s="91"/>
    </row>
    <row r="7" spans="1:3" ht="18" x14ac:dyDescent="0.25">
      <c r="A7" s="94" t="s">
        <v>177</v>
      </c>
      <c r="B7" s="95" t="s">
        <v>178</v>
      </c>
      <c r="C7" s="96" t="s">
        <v>201</v>
      </c>
    </row>
    <row r="8" spans="1:3" ht="18" x14ac:dyDescent="0.25">
      <c r="A8" s="94" t="s">
        <v>179</v>
      </c>
      <c r="B8" s="95" t="s">
        <v>180</v>
      </c>
      <c r="C8" s="96" t="s">
        <v>202</v>
      </c>
    </row>
    <row r="9" spans="1:3" ht="18" x14ac:dyDescent="0.25">
      <c r="A9" s="93" t="s">
        <v>203</v>
      </c>
      <c r="B9" s="91"/>
      <c r="C9" s="97"/>
    </row>
    <row r="10" spans="1:3" ht="18" x14ac:dyDescent="0.25">
      <c r="A10" s="94" t="s">
        <v>181</v>
      </c>
      <c r="B10" s="95" t="s">
        <v>182</v>
      </c>
      <c r="C10" s="98" t="s">
        <v>204</v>
      </c>
    </row>
    <row r="11" spans="1:3" ht="18" x14ac:dyDescent="0.25">
      <c r="A11" s="94" t="s">
        <v>183</v>
      </c>
      <c r="B11" s="95" t="s">
        <v>184</v>
      </c>
      <c r="C11" s="98" t="s">
        <v>205</v>
      </c>
    </row>
    <row r="12" spans="1:3" ht="18" x14ac:dyDescent="0.25">
      <c r="A12" s="94" t="s">
        <v>185</v>
      </c>
      <c r="B12" s="95" t="s">
        <v>186</v>
      </c>
      <c r="C12" s="98" t="s">
        <v>206</v>
      </c>
    </row>
    <row r="13" spans="1:3" ht="18" customHeight="1" x14ac:dyDescent="0.25">
      <c r="A13" s="93" t="s">
        <v>187</v>
      </c>
      <c r="B13" s="91"/>
      <c r="C13" s="99"/>
    </row>
    <row r="14" spans="1:3" s="101" customFormat="1" ht="18" x14ac:dyDescent="0.25">
      <c r="A14" s="100" t="s">
        <v>188</v>
      </c>
      <c r="B14" s="101" t="s">
        <v>189</v>
      </c>
      <c r="C14" s="98" t="s">
        <v>207</v>
      </c>
    </row>
    <row r="15" spans="1:3" s="101" customFormat="1" ht="18" x14ac:dyDescent="0.25"/>
  </sheetData>
  <pageMargins left="0.7" right="0.7" top="0.75" bottom="0.75" header="0.3" footer="0.3"/>
  <pageSetup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50"/>
  <sheetViews>
    <sheetView topLeftCell="A28" zoomScale="90" zoomScaleNormal="90" zoomScalePageLayoutView="80" workbookViewId="0">
      <selection activeCell="A49" sqref="A49"/>
    </sheetView>
  </sheetViews>
  <sheetFormatPr defaultColWidth="9.140625" defaultRowHeight="15" x14ac:dyDescent="0.2"/>
  <cols>
    <col min="1" max="1" width="52.5703125" style="5" customWidth="1"/>
    <col min="2" max="2" width="28.28515625" style="5" customWidth="1"/>
    <col min="3" max="3" width="17.85546875" style="83" customWidth="1"/>
    <col min="4" max="4" width="21.85546875" style="83" customWidth="1"/>
    <col min="5" max="5" width="14" style="83" customWidth="1"/>
    <col min="6" max="6" width="17.28515625" style="84" customWidth="1"/>
    <col min="7" max="7" width="17.85546875" style="84" customWidth="1"/>
    <col min="8" max="8" width="2.5703125" style="84" customWidth="1"/>
    <col min="9" max="9" width="16.85546875" style="84" customWidth="1"/>
    <col min="10" max="10" width="2.5703125" style="84" customWidth="1"/>
    <col min="11" max="11" width="19.140625" style="84" customWidth="1"/>
    <col min="12" max="12" width="27" style="84" customWidth="1"/>
    <col min="13" max="13" width="2.5703125" style="84" customWidth="1"/>
    <col min="14" max="14" width="20.5703125" style="84" customWidth="1"/>
    <col min="15" max="15" width="18" style="84" customWidth="1"/>
    <col min="16" max="16" width="12.5703125" style="5" bestFit="1" customWidth="1"/>
    <col min="17" max="16384" width="9.140625" style="5"/>
  </cols>
  <sheetData>
    <row r="1" spans="1:15" ht="54" x14ac:dyDescent="0.25">
      <c r="A1" s="7" t="s">
        <v>208</v>
      </c>
      <c r="B1" s="9"/>
      <c r="C1" s="8"/>
      <c r="D1" s="8"/>
      <c r="E1" s="8"/>
      <c r="F1" s="78"/>
      <c r="G1" s="78"/>
      <c r="H1" s="78"/>
      <c r="I1" s="78"/>
      <c r="J1" s="78"/>
      <c r="K1" s="78"/>
      <c r="L1" s="78"/>
      <c r="M1" s="78"/>
      <c r="N1" s="78"/>
      <c r="O1" s="79"/>
    </row>
    <row r="2" spans="1:15" ht="78" customHeight="1" x14ac:dyDescent="0.25">
      <c r="A2" s="52" t="s">
        <v>157</v>
      </c>
      <c r="B2" s="53" t="s">
        <v>99</v>
      </c>
      <c r="C2" s="53" t="s">
        <v>0</v>
      </c>
      <c r="D2" s="53" t="s">
        <v>100</v>
      </c>
      <c r="E2" s="53" t="s">
        <v>101</v>
      </c>
      <c r="F2" s="54" t="s">
        <v>102</v>
      </c>
      <c r="G2" s="297" t="s">
        <v>653</v>
      </c>
      <c r="H2" s="55" t="s">
        <v>645</v>
      </c>
      <c r="I2" s="56" t="s">
        <v>138</v>
      </c>
      <c r="J2" s="61" t="s">
        <v>140</v>
      </c>
      <c r="K2" s="56" t="s">
        <v>103</v>
      </c>
      <c r="L2" s="56" t="s">
        <v>104</v>
      </c>
      <c r="M2" s="61" t="s">
        <v>220</v>
      </c>
      <c r="N2" s="57" t="s">
        <v>105</v>
      </c>
      <c r="O2" s="58" t="s">
        <v>218</v>
      </c>
    </row>
    <row r="3" spans="1:15" ht="15" customHeight="1" x14ac:dyDescent="0.2">
      <c r="A3" s="47" t="s">
        <v>159</v>
      </c>
      <c r="B3" s="48" t="s">
        <v>209</v>
      </c>
      <c r="C3" s="67" t="s">
        <v>212</v>
      </c>
      <c r="D3" s="77" t="s">
        <v>213</v>
      </c>
      <c r="E3" s="49">
        <v>46203</v>
      </c>
      <c r="F3" s="245">
        <v>141391000</v>
      </c>
      <c r="G3" s="246">
        <v>141391000</v>
      </c>
      <c r="H3" s="240" t="s">
        <v>140</v>
      </c>
      <c r="I3" s="246">
        <v>0</v>
      </c>
      <c r="J3" s="73" t="s">
        <v>140</v>
      </c>
      <c r="K3" s="248">
        <v>0</v>
      </c>
      <c r="L3" s="246">
        <v>123954369</v>
      </c>
      <c r="M3" s="73" t="s">
        <v>140</v>
      </c>
      <c r="N3" s="245">
        <v>0</v>
      </c>
      <c r="O3" s="252">
        <v>17436631</v>
      </c>
    </row>
    <row r="4" spans="1:15" ht="15" customHeight="1" x14ac:dyDescent="0.2">
      <c r="A4" s="47" t="s">
        <v>159</v>
      </c>
      <c r="B4" s="38" t="s">
        <v>210</v>
      </c>
      <c r="C4" s="40" t="s">
        <v>212</v>
      </c>
      <c r="D4" s="77" t="s">
        <v>214</v>
      </c>
      <c r="E4" s="39">
        <v>46203</v>
      </c>
      <c r="F4" s="247">
        <v>17605000</v>
      </c>
      <c r="G4" s="247">
        <v>17605000</v>
      </c>
      <c r="H4" s="240" t="s">
        <v>140</v>
      </c>
      <c r="I4" s="248">
        <v>0</v>
      </c>
      <c r="J4" s="73" t="s">
        <v>140</v>
      </c>
      <c r="K4" s="248">
        <v>0</v>
      </c>
      <c r="L4" s="247">
        <v>17592970</v>
      </c>
      <c r="M4" s="73" t="s">
        <v>140</v>
      </c>
      <c r="N4" s="248">
        <v>0</v>
      </c>
      <c r="O4" s="253">
        <v>12030</v>
      </c>
    </row>
    <row r="5" spans="1:15" ht="15" customHeight="1" x14ac:dyDescent="0.2">
      <c r="A5" s="47" t="s">
        <v>159</v>
      </c>
      <c r="B5" s="38" t="s">
        <v>106</v>
      </c>
      <c r="C5" s="40" t="s">
        <v>107</v>
      </c>
      <c r="D5" s="113" t="s">
        <v>140</v>
      </c>
      <c r="E5" s="39">
        <v>45838</v>
      </c>
      <c r="F5" s="247">
        <v>66840000</v>
      </c>
      <c r="G5" s="247">
        <v>15760720</v>
      </c>
      <c r="H5" s="240" t="s">
        <v>140</v>
      </c>
      <c r="I5" s="248">
        <v>0</v>
      </c>
      <c r="J5" s="73" t="s">
        <v>646</v>
      </c>
      <c r="K5" s="248">
        <v>259</v>
      </c>
      <c r="L5" s="248">
        <v>0</v>
      </c>
      <c r="M5" s="73" t="s">
        <v>140</v>
      </c>
      <c r="N5" s="248">
        <v>0</v>
      </c>
      <c r="O5" s="253">
        <v>15760979</v>
      </c>
    </row>
    <row r="6" spans="1:15" ht="15" customHeight="1" x14ac:dyDescent="0.25">
      <c r="A6" s="47" t="s">
        <v>159</v>
      </c>
      <c r="B6" s="38" t="s">
        <v>108</v>
      </c>
      <c r="C6" s="40" t="s">
        <v>129</v>
      </c>
      <c r="D6" s="113" t="s">
        <v>140</v>
      </c>
      <c r="E6" s="39">
        <v>45473</v>
      </c>
      <c r="F6" s="247">
        <v>45623000</v>
      </c>
      <c r="G6" s="247">
        <v>4909285</v>
      </c>
      <c r="H6" s="240" t="s">
        <v>140</v>
      </c>
      <c r="I6" s="248">
        <v>-4909000</v>
      </c>
      <c r="J6" s="296">
        <v>2</v>
      </c>
      <c r="K6" s="248">
        <v>0</v>
      </c>
      <c r="L6" s="248">
        <v>0</v>
      </c>
      <c r="M6" s="73" t="s">
        <v>140</v>
      </c>
      <c r="N6" s="248">
        <v>0</v>
      </c>
      <c r="O6" s="253">
        <v>285</v>
      </c>
    </row>
    <row r="7" spans="1:15" ht="15" customHeight="1" x14ac:dyDescent="0.25">
      <c r="A7" s="47" t="s">
        <v>159</v>
      </c>
      <c r="B7" s="38" t="s">
        <v>211</v>
      </c>
      <c r="C7" s="40" t="s">
        <v>129</v>
      </c>
      <c r="D7" s="77" t="s">
        <v>46</v>
      </c>
      <c r="E7" s="39">
        <v>46203</v>
      </c>
      <c r="F7" s="248">
        <v>0</v>
      </c>
      <c r="G7" s="248">
        <v>0</v>
      </c>
      <c r="H7" s="240" t="s">
        <v>140</v>
      </c>
      <c r="I7" s="248">
        <v>4909000</v>
      </c>
      <c r="J7" s="296">
        <v>3</v>
      </c>
      <c r="K7" s="248">
        <v>0</v>
      </c>
      <c r="L7" s="247">
        <v>4908272</v>
      </c>
      <c r="M7" s="73" t="s">
        <v>140</v>
      </c>
      <c r="N7" s="248">
        <v>0</v>
      </c>
      <c r="O7" s="253">
        <v>728</v>
      </c>
    </row>
    <row r="8" spans="1:15" ht="15" customHeight="1" x14ac:dyDescent="0.2">
      <c r="A8" s="47" t="s">
        <v>159</v>
      </c>
      <c r="B8" s="63" t="s">
        <v>109</v>
      </c>
      <c r="C8" s="40" t="s">
        <v>110</v>
      </c>
      <c r="D8" s="77" t="s">
        <v>2</v>
      </c>
      <c r="E8" s="66">
        <v>46203</v>
      </c>
      <c r="F8" s="249">
        <v>41147000</v>
      </c>
      <c r="G8" s="249">
        <v>27021</v>
      </c>
      <c r="H8" s="241" t="s">
        <v>140</v>
      </c>
      <c r="I8" s="249">
        <v>272000</v>
      </c>
      <c r="J8" s="74" t="s">
        <v>654</v>
      </c>
      <c r="K8" s="249">
        <v>0</v>
      </c>
      <c r="L8" s="249">
        <v>271241</v>
      </c>
      <c r="M8" s="73" t="s">
        <v>140</v>
      </c>
      <c r="N8" s="249">
        <v>272021</v>
      </c>
      <c r="O8" s="253">
        <v>759</v>
      </c>
    </row>
    <row r="9" spans="1:15" ht="15" customHeight="1" x14ac:dyDescent="0.25">
      <c r="A9" s="109" t="s">
        <v>160</v>
      </c>
      <c r="B9" s="110" t="s">
        <v>161</v>
      </c>
      <c r="C9" s="110" t="s">
        <v>161</v>
      </c>
      <c r="D9" s="110" t="s">
        <v>161</v>
      </c>
      <c r="E9" s="110" t="s">
        <v>161</v>
      </c>
      <c r="F9" s="250">
        <f>SUBTOTAL(109,localgeneralfund[Original
Appropriation
Amount])</f>
        <v>312606000</v>
      </c>
      <c r="G9" s="250">
        <f>SUBTOTAL(109,localgeneralfund[Appropriation Balances1])</f>
        <v>179693026</v>
      </c>
      <c r="H9" s="111" t="s">
        <v>161</v>
      </c>
      <c r="I9" s="251">
        <f>SUBTOTAL(109,localgeneralfund[Budget
Adjustments])</f>
        <v>272000</v>
      </c>
      <c r="J9" s="111" t="s">
        <v>161</v>
      </c>
      <c r="K9" s="250">
        <f>SUBTOTAL(109,localgeneralfund[Add: Receipts
and Recovered Amounts])</f>
        <v>259</v>
      </c>
      <c r="L9" s="251">
        <f>SUBTOTAL(109,localgeneralfund[Less: Mandated Program Payments, Offsets,
and Interest
(see Schedule A1)])</f>
        <v>146726852</v>
      </c>
      <c r="M9" s="111" t="s">
        <v>161</v>
      </c>
      <c r="N9" s="251">
        <f>SUBTOTAL(109,localgeneralfund[Less: Appropriations for Reversion])</f>
        <v>272021</v>
      </c>
      <c r="O9" s="254">
        <f>SUBTOTAL(109,localgeneralfund[Appropriation Balances
as of 8/31/2023])</f>
        <v>33211412</v>
      </c>
    </row>
    <row r="10" spans="1:15" ht="15" customHeight="1" x14ac:dyDescent="0.25">
      <c r="A10" s="70" t="s">
        <v>141</v>
      </c>
      <c r="B10" s="48"/>
      <c r="C10" s="67"/>
      <c r="D10" s="68"/>
      <c r="E10" s="49"/>
      <c r="F10" s="69"/>
      <c r="G10" s="69"/>
      <c r="H10" s="69"/>
      <c r="I10" s="50"/>
      <c r="J10" s="69"/>
      <c r="K10" s="69"/>
      <c r="L10" s="69"/>
      <c r="M10" s="69"/>
      <c r="N10" s="69"/>
      <c r="O10" s="51"/>
    </row>
    <row r="11" spans="1:15" ht="78" customHeight="1" x14ac:dyDescent="0.25">
      <c r="A11" s="52" t="s">
        <v>157</v>
      </c>
      <c r="B11" s="53" t="s">
        <v>99</v>
      </c>
      <c r="C11" s="53" t="s">
        <v>0</v>
      </c>
      <c r="D11" s="53" t="s">
        <v>100</v>
      </c>
      <c r="E11" s="53" t="s">
        <v>101</v>
      </c>
      <c r="F11" s="54" t="s">
        <v>102</v>
      </c>
      <c r="G11" s="297" t="s">
        <v>644</v>
      </c>
      <c r="H11" s="55" t="s">
        <v>142</v>
      </c>
      <c r="I11" s="56" t="s">
        <v>138</v>
      </c>
      <c r="J11" s="61" t="s">
        <v>140</v>
      </c>
      <c r="K11" s="56" t="s">
        <v>103</v>
      </c>
      <c r="L11" s="56" t="s">
        <v>104</v>
      </c>
      <c r="M11" s="61" t="s">
        <v>220</v>
      </c>
      <c r="N11" s="57" t="s">
        <v>105</v>
      </c>
      <c r="O11" s="58" t="s">
        <v>218</v>
      </c>
    </row>
    <row r="12" spans="1:15" x14ac:dyDescent="0.2">
      <c r="A12" s="5" t="s">
        <v>162</v>
      </c>
      <c r="B12" s="38" t="s">
        <v>215</v>
      </c>
      <c r="C12" s="40" t="s">
        <v>212</v>
      </c>
      <c r="D12" s="46" t="s">
        <v>213</v>
      </c>
      <c r="E12" s="39">
        <v>46203</v>
      </c>
      <c r="F12" s="255">
        <v>1809000</v>
      </c>
      <c r="G12" s="255">
        <v>1809000</v>
      </c>
      <c r="H12" s="73" t="s">
        <v>140</v>
      </c>
      <c r="I12" s="248">
        <v>0</v>
      </c>
      <c r="J12" s="73" t="s">
        <v>140</v>
      </c>
      <c r="K12" s="255">
        <v>0</v>
      </c>
      <c r="L12" s="255">
        <v>1808996</v>
      </c>
      <c r="M12" s="73" t="s">
        <v>140</v>
      </c>
      <c r="N12" s="255">
        <v>0</v>
      </c>
      <c r="O12" s="253">
        <v>4</v>
      </c>
    </row>
    <row r="13" spans="1:15" x14ac:dyDescent="0.2">
      <c r="A13" s="5" t="s">
        <v>162</v>
      </c>
      <c r="B13" s="38" t="s">
        <v>112</v>
      </c>
      <c r="C13" s="40" t="s">
        <v>107</v>
      </c>
      <c r="D13" s="61" t="s">
        <v>140</v>
      </c>
      <c r="E13" s="39">
        <v>45838</v>
      </c>
      <c r="F13" s="247">
        <v>1805000</v>
      </c>
      <c r="G13" s="247">
        <v>105924</v>
      </c>
      <c r="H13" s="73" t="s">
        <v>140</v>
      </c>
      <c r="I13" s="248">
        <v>0</v>
      </c>
      <c r="J13" s="73" t="s">
        <v>140</v>
      </c>
      <c r="K13" s="248">
        <v>0</v>
      </c>
      <c r="L13" s="247">
        <v>0</v>
      </c>
      <c r="M13" s="73" t="s">
        <v>140</v>
      </c>
      <c r="N13" s="248">
        <v>0</v>
      </c>
      <c r="O13" s="253">
        <v>105924</v>
      </c>
    </row>
    <row r="14" spans="1:15" x14ac:dyDescent="0.2">
      <c r="A14" s="5" t="s">
        <v>162</v>
      </c>
      <c r="B14" s="38" t="s">
        <v>113</v>
      </c>
      <c r="C14" s="40" t="s">
        <v>129</v>
      </c>
      <c r="D14" s="61" t="s">
        <v>140</v>
      </c>
      <c r="E14" s="39">
        <v>45473</v>
      </c>
      <c r="F14" s="256">
        <v>2008000</v>
      </c>
      <c r="G14" s="248">
        <v>282961</v>
      </c>
      <c r="H14" s="73" t="s">
        <v>140</v>
      </c>
      <c r="I14" s="248">
        <v>0</v>
      </c>
      <c r="J14" s="73" t="s">
        <v>140</v>
      </c>
      <c r="K14" s="248">
        <v>5476</v>
      </c>
      <c r="L14" s="248">
        <v>0</v>
      </c>
      <c r="M14" s="73" t="s">
        <v>140</v>
      </c>
      <c r="N14" s="248">
        <v>0</v>
      </c>
      <c r="O14" s="253">
        <v>288437</v>
      </c>
    </row>
    <row r="15" spans="1:15" x14ac:dyDescent="0.2">
      <c r="A15" s="5" t="s">
        <v>162</v>
      </c>
      <c r="B15" s="41" t="s">
        <v>114</v>
      </c>
      <c r="C15" s="40" t="s">
        <v>110</v>
      </c>
      <c r="D15" s="65" t="s">
        <v>140</v>
      </c>
      <c r="E15" s="66">
        <v>45107</v>
      </c>
      <c r="F15" s="257">
        <v>1951000</v>
      </c>
      <c r="G15" s="249">
        <v>7614</v>
      </c>
      <c r="H15" s="74" t="s">
        <v>140</v>
      </c>
      <c r="I15" s="249">
        <v>0</v>
      </c>
      <c r="J15" s="74" t="s">
        <v>140</v>
      </c>
      <c r="K15" s="249">
        <v>0</v>
      </c>
      <c r="L15" s="249">
        <v>0</v>
      </c>
      <c r="M15" s="74" t="s">
        <v>140</v>
      </c>
      <c r="N15" s="249">
        <v>7614</v>
      </c>
      <c r="O15" s="258">
        <v>0</v>
      </c>
    </row>
    <row r="16" spans="1:15" ht="15.75" x14ac:dyDescent="0.25">
      <c r="A16" s="112" t="s">
        <v>163</v>
      </c>
      <c r="B16" s="110" t="s">
        <v>164</v>
      </c>
      <c r="C16" s="110" t="s">
        <v>164</v>
      </c>
      <c r="D16" s="110" t="s">
        <v>164</v>
      </c>
      <c r="E16" s="110" t="s">
        <v>164</v>
      </c>
      <c r="F16" s="250">
        <f>SUBTOTAL(109,dmvnongeneralfund[Original
Appropriation
Amount])</f>
        <v>7573000</v>
      </c>
      <c r="G16" s="250">
        <f>SUBTOTAL(109,dmvnongeneralfund[[Appropriation Balances1 ]])</f>
        <v>2205499</v>
      </c>
      <c r="H16" s="111" t="s">
        <v>174</v>
      </c>
      <c r="I16" s="251">
        <f>SUBTOTAL(109,dmvnongeneralfund[Budget
Adjustments])</f>
        <v>0</v>
      </c>
      <c r="J16" s="111" t="s">
        <v>174</v>
      </c>
      <c r="K16" s="250">
        <f>SUBTOTAL(109,dmvnongeneralfund[Add: Receipts
and Recovered Amounts])</f>
        <v>5476</v>
      </c>
      <c r="L16" s="251">
        <f>SUBTOTAL(109,dmvnongeneralfund[Less: Mandated Program Payments, Offsets,
and Interest
(see Schedule A1)])</f>
        <v>1808996</v>
      </c>
      <c r="M16" s="111" t="s">
        <v>174</v>
      </c>
      <c r="N16" s="250">
        <f>SUBTOTAL(109,dmvnongeneralfund[Less: Appropriations for Reversion])</f>
        <v>7614</v>
      </c>
      <c r="O16" s="254">
        <f>SUBTOTAL(109,dmvnongeneralfund[Appropriation Balances
as of 8/31/2023])</f>
        <v>394365</v>
      </c>
    </row>
    <row r="17" spans="1:15" ht="15.75" x14ac:dyDescent="0.25">
      <c r="A17" s="70" t="s">
        <v>141</v>
      </c>
      <c r="B17" s="59"/>
      <c r="C17" s="60"/>
      <c r="D17" s="42"/>
      <c r="E17" s="75"/>
      <c r="F17" s="43"/>
      <c r="G17" s="43"/>
      <c r="H17" s="43"/>
      <c r="I17" s="62"/>
      <c r="J17" s="43"/>
      <c r="K17" s="43"/>
      <c r="L17" s="43"/>
      <c r="M17" s="43"/>
      <c r="N17" s="43"/>
      <c r="O17" s="76"/>
    </row>
    <row r="18" spans="1:15" ht="78" customHeight="1" x14ac:dyDescent="0.25">
      <c r="A18" s="52" t="s">
        <v>157</v>
      </c>
      <c r="B18" s="53" t="s">
        <v>99</v>
      </c>
      <c r="C18" s="53" t="s">
        <v>0</v>
      </c>
      <c r="D18" s="53" t="s">
        <v>100</v>
      </c>
      <c r="E18" s="53" t="s">
        <v>101</v>
      </c>
      <c r="F18" s="54" t="s">
        <v>102</v>
      </c>
      <c r="G18" s="52" t="s">
        <v>158</v>
      </c>
      <c r="H18" s="55" t="s">
        <v>142</v>
      </c>
      <c r="I18" s="56" t="s">
        <v>138</v>
      </c>
      <c r="J18" s="61" t="s">
        <v>140</v>
      </c>
      <c r="K18" s="56" t="s">
        <v>103</v>
      </c>
      <c r="L18" s="56" t="s">
        <v>104</v>
      </c>
      <c r="M18" s="61" t="s">
        <v>220</v>
      </c>
      <c r="N18" s="57" t="s">
        <v>105</v>
      </c>
      <c r="O18" s="58" t="s">
        <v>218</v>
      </c>
    </row>
    <row r="19" spans="1:15" x14ac:dyDescent="0.2">
      <c r="A19" s="5" t="s">
        <v>165</v>
      </c>
      <c r="B19" s="38" t="s">
        <v>216</v>
      </c>
      <c r="C19" s="40" t="s">
        <v>212</v>
      </c>
      <c r="D19" s="42" t="s">
        <v>217</v>
      </c>
      <c r="E19" s="39">
        <v>46203</v>
      </c>
      <c r="F19" s="259">
        <v>99000</v>
      </c>
      <c r="G19" s="259">
        <v>99000</v>
      </c>
      <c r="H19" s="73" t="s">
        <v>140</v>
      </c>
      <c r="I19" s="259">
        <v>0</v>
      </c>
      <c r="J19" s="73" t="s">
        <v>140</v>
      </c>
      <c r="K19" s="259">
        <v>0</v>
      </c>
      <c r="L19" s="243">
        <v>99000</v>
      </c>
      <c r="M19" s="73" t="s">
        <v>140</v>
      </c>
      <c r="N19" s="259">
        <v>0</v>
      </c>
      <c r="O19" s="260">
        <v>0</v>
      </c>
    </row>
    <row r="20" spans="1:15" x14ac:dyDescent="0.2">
      <c r="A20" s="5" t="s">
        <v>165</v>
      </c>
      <c r="B20" s="38" t="s">
        <v>115</v>
      </c>
      <c r="C20" s="40" t="s">
        <v>107</v>
      </c>
      <c r="D20" s="61" t="s">
        <v>140</v>
      </c>
      <c r="E20" s="39">
        <v>45838</v>
      </c>
      <c r="F20" s="247">
        <v>49000</v>
      </c>
      <c r="G20" s="247">
        <v>0</v>
      </c>
      <c r="H20" s="73" t="s">
        <v>140</v>
      </c>
      <c r="I20" s="247">
        <v>0</v>
      </c>
      <c r="J20" s="73" t="s">
        <v>140</v>
      </c>
      <c r="K20" s="248">
        <v>0</v>
      </c>
      <c r="L20" s="248">
        <v>0</v>
      </c>
      <c r="M20" s="73" t="s">
        <v>140</v>
      </c>
      <c r="N20" s="248">
        <v>0</v>
      </c>
      <c r="O20" s="260">
        <v>0</v>
      </c>
    </row>
    <row r="21" spans="1:15" x14ac:dyDescent="0.2">
      <c r="A21" s="5" t="s">
        <v>165</v>
      </c>
      <c r="B21" s="41" t="s">
        <v>116</v>
      </c>
      <c r="C21" s="40" t="s">
        <v>129</v>
      </c>
      <c r="D21" s="61" t="s">
        <v>140</v>
      </c>
      <c r="E21" s="39">
        <v>45473</v>
      </c>
      <c r="F21" s="248">
        <v>47000</v>
      </c>
      <c r="G21" s="248">
        <v>0</v>
      </c>
      <c r="H21" s="73" t="s">
        <v>140</v>
      </c>
      <c r="I21" s="248">
        <v>0</v>
      </c>
      <c r="J21" s="73" t="s">
        <v>140</v>
      </c>
      <c r="K21" s="248">
        <v>0</v>
      </c>
      <c r="L21" s="248">
        <v>0</v>
      </c>
      <c r="M21" s="73" t="s">
        <v>140</v>
      </c>
      <c r="N21" s="248">
        <v>0</v>
      </c>
      <c r="O21" s="260">
        <v>0</v>
      </c>
    </row>
    <row r="22" spans="1:15" x14ac:dyDescent="0.2">
      <c r="A22" s="5" t="s">
        <v>165</v>
      </c>
      <c r="B22" s="71" t="s">
        <v>117</v>
      </c>
      <c r="C22" s="64" t="s">
        <v>110</v>
      </c>
      <c r="D22" s="61" t="s">
        <v>140</v>
      </c>
      <c r="E22" s="66">
        <v>45107</v>
      </c>
      <c r="F22" s="249">
        <v>46000</v>
      </c>
      <c r="G22" s="248">
        <v>0</v>
      </c>
      <c r="H22" s="74" t="s">
        <v>140</v>
      </c>
      <c r="I22" s="249">
        <v>0</v>
      </c>
      <c r="J22" s="74" t="s">
        <v>140</v>
      </c>
      <c r="K22" s="249">
        <v>0</v>
      </c>
      <c r="L22" s="249">
        <v>0</v>
      </c>
      <c r="M22" s="74" t="s">
        <v>140</v>
      </c>
      <c r="N22" s="248">
        <v>0</v>
      </c>
      <c r="O22" s="261">
        <v>0</v>
      </c>
    </row>
    <row r="23" spans="1:15" ht="15" customHeight="1" x14ac:dyDescent="0.25">
      <c r="A23" s="112" t="s">
        <v>166</v>
      </c>
      <c r="B23" s="110" t="s">
        <v>167</v>
      </c>
      <c r="C23" s="110" t="s">
        <v>167</v>
      </c>
      <c r="D23" s="110" t="s">
        <v>167</v>
      </c>
      <c r="E23" s="110" t="s">
        <v>167</v>
      </c>
      <c r="F23" s="250">
        <f>SUBTOTAL(109,pestnongeneralfund[Original
Appropriation
Amount])</f>
        <v>241000</v>
      </c>
      <c r="G23" s="251">
        <f>SUBTOTAL(109,pestnongeneralfund[[Appropriation Balances1 ]])</f>
        <v>99000</v>
      </c>
      <c r="H23" s="110" t="s">
        <v>167</v>
      </c>
      <c r="I23" s="251">
        <f>SUBTOTAL(109,pestnongeneralfund[Budget
Adjustments])</f>
        <v>0</v>
      </c>
      <c r="J23" s="110" t="s">
        <v>167</v>
      </c>
      <c r="K23" s="251">
        <f>SUBTOTAL(109,pestnongeneralfund[Add: Receipts
and Recovered Amounts])</f>
        <v>0</v>
      </c>
      <c r="L23" s="251">
        <f>SUBTOTAL(109,pestnongeneralfund[Less: Mandated Program Payments, Offsets,
and Interest
(see Schedule A1)])</f>
        <v>99000</v>
      </c>
      <c r="M23" s="110" t="s">
        <v>167</v>
      </c>
      <c r="N23" s="251">
        <f>SUBTOTAL(109,pestnongeneralfund[Less: Appropriations for Reversion])</f>
        <v>0</v>
      </c>
      <c r="O23" s="254">
        <f>SUBTOTAL(109,pestnongeneralfund[Appropriation Balances
as of 8/31/2023])</f>
        <v>0</v>
      </c>
    </row>
    <row r="24" spans="1:15" ht="15" customHeight="1" x14ac:dyDescent="0.25">
      <c r="A24" s="70" t="s">
        <v>141</v>
      </c>
      <c r="B24" s="59"/>
      <c r="C24" s="60"/>
      <c r="D24" s="42"/>
      <c r="E24" s="75"/>
      <c r="F24" s="43"/>
      <c r="G24" s="43"/>
      <c r="H24" s="43"/>
      <c r="I24" s="62"/>
      <c r="J24" s="43"/>
      <c r="K24" s="43"/>
      <c r="L24" s="43"/>
      <c r="M24" s="43"/>
      <c r="N24" s="43"/>
      <c r="O24" s="76"/>
    </row>
    <row r="25" spans="1:15" ht="78" customHeight="1" x14ac:dyDescent="0.25">
      <c r="A25" s="52" t="s">
        <v>157</v>
      </c>
      <c r="B25" s="53" t="s">
        <v>99</v>
      </c>
      <c r="C25" s="53" t="s">
        <v>0</v>
      </c>
      <c r="D25" s="53" t="s">
        <v>100</v>
      </c>
      <c r="E25" s="53" t="s">
        <v>101</v>
      </c>
      <c r="F25" s="54" t="s">
        <v>102</v>
      </c>
      <c r="G25" s="52" t="s">
        <v>158</v>
      </c>
      <c r="H25" s="55" t="s">
        <v>142</v>
      </c>
      <c r="I25" s="56" t="s">
        <v>138</v>
      </c>
      <c r="J25" s="61" t="s">
        <v>140</v>
      </c>
      <c r="K25" s="56" t="s">
        <v>103</v>
      </c>
      <c r="L25" s="56" t="s">
        <v>104</v>
      </c>
      <c r="M25" s="61" t="s">
        <v>220</v>
      </c>
      <c r="N25" s="57" t="s">
        <v>105</v>
      </c>
      <c r="O25" s="58" t="s">
        <v>218</v>
      </c>
    </row>
    <row r="26" spans="1:15" ht="15" customHeight="1" x14ac:dyDescent="0.2">
      <c r="A26" s="5" t="s">
        <v>168</v>
      </c>
      <c r="B26" s="44" t="s">
        <v>219</v>
      </c>
      <c r="C26" s="40" t="s">
        <v>212</v>
      </c>
      <c r="D26" s="45" t="s">
        <v>217</v>
      </c>
      <c r="E26" s="39">
        <v>46203</v>
      </c>
      <c r="F26" s="248">
        <v>49000</v>
      </c>
      <c r="G26" s="262">
        <v>49000</v>
      </c>
      <c r="H26" s="61" t="s">
        <v>140</v>
      </c>
      <c r="I26" s="262">
        <v>0</v>
      </c>
      <c r="J26" s="61" t="s">
        <v>140</v>
      </c>
      <c r="K26" s="262">
        <v>0</v>
      </c>
      <c r="L26" s="243">
        <v>24000</v>
      </c>
      <c r="M26" s="61" t="s">
        <v>140</v>
      </c>
      <c r="N26" s="262">
        <v>0</v>
      </c>
      <c r="O26" s="253">
        <v>25000</v>
      </c>
    </row>
    <row r="27" spans="1:15" ht="15" customHeight="1" x14ac:dyDescent="0.2">
      <c r="A27" s="5" t="s">
        <v>168</v>
      </c>
      <c r="B27" s="44" t="s">
        <v>118</v>
      </c>
      <c r="C27" s="40" t="s">
        <v>107</v>
      </c>
      <c r="D27" s="61" t="s">
        <v>140</v>
      </c>
      <c r="E27" s="39">
        <v>45838</v>
      </c>
      <c r="F27" s="248">
        <v>49000</v>
      </c>
      <c r="G27" s="262">
        <v>26000</v>
      </c>
      <c r="H27" s="61" t="s">
        <v>140</v>
      </c>
      <c r="I27" s="262">
        <v>0</v>
      </c>
      <c r="J27" s="61" t="s">
        <v>140</v>
      </c>
      <c r="K27" s="262">
        <v>0</v>
      </c>
      <c r="L27" s="262">
        <v>0</v>
      </c>
      <c r="M27" s="61" t="s">
        <v>140</v>
      </c>
      <c r="N27" s="262">
        <v>0</v>
      </c>
      <c r="O27" s="253">
        <v>26000</v>
      </c>
    </row>
    <row r="28" spans="1:15" ht="15" customHeight="1" x14ac:dyDescent="0.2">
      <c r="A28" s="5" t="s">
        <v>168</v>
      </c>
      <c r="B28" s="38" t="s">
        <v>119</v>
      </c>
      <c r="C28" s="40" t="s">
        <v>129</v>
      </c>
      <c r="D28" s="61" t="s">
        <v>140</v>
      </c>
      <c r="E28" s="39">
        <v>45473</v>
      </c>
      <c r="F28" s="248">
        <v>48000</v>
      </c>
      <c r="G28" s="262">
        <v>23000</v>
      </c>
      <c r="H28" s="61" t="s">
        <v>140</v>
      </c>
      <c r="I28" s="262">
        <v>0</v>
      </c>
      <c r="J28" s="61" t="s">
        <v>140</v>
      </c>
      <c r="K28" s="265">
        <v>0</v>
      </c>
      <c r="L28" s="265">
        <v>0</v>
      </c>
      <c r="M28" s="61" t="s">
        <v>140</v>
      </c>
      <c r="N28" s="265">
        <v>0</v>
      </c>
      <c r="O28" s="253">
        <v>23000</v>
      </c>
    </row>
    <row r="29" spans="1:15" ht="15" customHeight="1" x14ac:dyDescent="0.2">
      <c r="A29" s="5" t="s">
        <v>168</v>
      </c>
      <c r="B29" s="63" t="s">
        <v>120</v>
      </c>
      <c r="C29" s="64" t="s">
        <v>110</v>
      </c>
      <c r="D29" s="65" t="s">
        <v>140</v>
      </c>
      <c r="E29" s="66">
        <v>45107</v>
      </c>
      <c r="F29" s="249">
        <v>49000</v>
      </c>
      <c r="G29" s="263">
        <v>17000</v>
      </c>
      <c r="H29" s="65" t="s">
        <v>140</v>
      </c>
      <c r="I29" s="263">
        <v>0</v>
      </c>
      <c r="J29" s="65" t="s">
        <v>140</v>
      </c>
      <c r="K29" s="263">
        <v>0</v>
      </c>
      <c r="L29" s="266">
        <v>0</v>
      </c>
      <c r="M29" s="65" t="s">
        <v>140</v>
      </c>
      <c r="N29" s="266">
        <v>17000</v>
      </c>
      <c r="O29" s="258">
        <v>0</v>
      </c>
    </row>
    <row r="30" spans="1:15" ht="15.75" x14ac:dyDescent="0.25">
      <c r="A30" s="112" t="s">
        <v>169</v>
      </c>
      <c r="B30" s="110" t="s">
        <v>170</v>
      </c>
      <c r="C30" s="110" t="s">
        <v>170</v>
      </c>
      <c r="D30" s="110" t="s">
        <v>170</v>
      </c>
      <c r="E30" s="110" t="s">
        <v>170</v>
      </c>
      <c r="F30" s="251">
        <f>SUBTOTAL(109,sdgeneralfund[Original
Appropriation
Amount])</f>
        <v>195000</v>
      </c>
      <c r="G30" s="264">
        <f>SUBTOTAL(109,sdgeneralfund[[Appropriation Balances1 ]])</f>
        <v>115000</v>
      </c>
      <c r="H30" s="110" t="s">
        <v>170</v>
      </c>
      <c r="I30" s="264">
        <f>SUBTOTAL(109,sdgeneralfund[Budget
Adjustments])</f>
        <v>0</v>
      </c>
      <c r="J30" s="110" t="s">
        <v>170</v>
      </c>
      <c r="K30" s="264">
        <f>SUBTOTAL(109,sdgeneralfund[Add: Receipts
and Recovered Amounts])</f>
        <v>0</v>
      </c>
      <c r="L30" s="250">
        <f>SUBTOTAL(109,sdgeneralfund[Less: Mandated Program Payments, Offsets,
and Interest
(see Schedule A1)])</f>
        <v>24000</v>
      </c>
      <c r="M30" s="110" t="s">
        <v>170</v>
      </c>
      <c r="N30" s="250">
        <f>SUBTOTAL(109,sdgeneralfund[Less: Appropriations for Reversion])</f>
        <v>17000</v>
      </c>
      <c r="O30" s="254">
        <f>SUBTOTAL(109,sdgeneralfund[Appropriation Balances
as of 8/31/2023])</f>
        <v>74000</v>
      </c>
    </row>
    <row r="31" spans="1:15" ht="15" customHeight="1" x14ac:dyDescent="0.25">
      <c r="A31" s="70" t="s">
        <v>141</v>
      </c>
      <c r="B31" s="59"/>
      <c r="C31" s="60"/>
      <c r="D31" s="42"/>
      <c r="E31" s="75"/>
      <c r="F31" s="43"/>
      <c r="G31" s="43"/>
      <c r="H31" s="43"/>
      <c r="I31" s="62"/>
      <c r="J31" s="43"/>
      <c r="K31" s="43"/>
      <c r="L31" s="43"/>
      <c r="M31" s="43"/>
      <c r="N31" s="43"/>
      <c r="O31" s="76"/>
    </row>
    <row r="32" spans="1:15" ht="78" customHeight="1" x14ac:dyDescent="0.25">
      <c r="A32" s="52" t="s">
        <v>157</v>
      </c>
      <c r="B32" s="53" t="s">
        <v>99</v>
      </c>
      <c r="C32" s="53" t="s">
        <v>0</v>
      </c>
      <c r="D32" s="53" t="s">
        <v>100</v>
      </c>
      <c r="E32" s="53" t="s">
        <v>101</v>
      </c>
      <c r="F32" s="54" t="s">
        <v>102</v>
      </c>
      <c r="G32" s="52" t="s">
        <v>158</v>
      </c>
      <c r="H32" s="55" t="s">
        <v>142</v>
      </c>
      <c r="I32" s="56" t="s">
        <v>138</v>
      </c>
      <c r="J32" s="61" t="s">
        <v>140</v>
      </c>
      <c r="K32" s="56" t="s">
        <v>103</v>
      </c>
      <c r="L32" s="56" t="s">
        <v>104</v>
      </c>
      <c r="M32" s="61" t="s">
        <v>220</v>
      </c>
      <c r="N32" s="57" t="s">
        <v>105</v>
      </c>
      <c r="O32" s="58" t="s">
        <v>218</v>
      </c>
    </row>
    <row r="33" spans="1:15" x14ac:dyDescent="0.2">
      <c r="A33" s="5" t="s">
        <v>171</v>
      </c>
      <c r="B33" s="44" t="s">
        <v>121</v>
      </c>
      <c r="C33" s="40" t="s">
        <v>107</v>
      </c>
      <c r="D33" s="61" t="s">
        <v>140</v>
      </c>
      <c r="E33" s="39">
        <v>45838</v>
      </c>
      <c r="F33" s="248">
        <v>13000</v>
      </c>
      <c r="G33" s="273">
        <v>13000</v>
      </c>
      <c r="H33" s="61" t="s">
        <v>140</v>
      </c>
      <c r="I33" s="272">
        <v>0</v>
      </c>
      <c r="J33" s="61" t="s">
        <v>140</v>
      </c>
      <c r="K33" s="243">
        <v>0</v>
      </c>
      <c r="L33" s="243">
        <v>0</v>
      </c>
      <c r="M33" s="61" t="s">
        <v>140</v>
      </c>
      <c r="N33" s="265">
        <v>0</v>
      </c>
      <c r="O33" s="267">
        <v>13000</v>
      </c>
    </row>
    <row r="34" spans="1:15" x14ac:dyDescent="0.2">
      <c r="A34" s="5" t="s">
        <v>171</v>
      </c>
      <c r="B34" s="44" t="s">
        <v>122</v>
      </c>
      <c r="C34" s="40" t="s">
        <v>129</v>
      </c>
      <c r="D34" s="61" t="s">
        <v>140</v>
      </c>
      <c r="E34" s="39">
        <v>45473</v>
      </c>
      <c r="F34" s="248">
        <v>13000</v>
      </c>
      <c r="G34" s="265">
        <v>13000</v>
      </c>
      <c r="H34" s="61" t="s">
        <v>140</v>
      </c>
      <c r="I34" s="271">
        <v>0</v>
      </c>
      <c r="J34" s="61" t="s">
        <v>140</v>
      </c>
      <c r="K34" s="271">
        <v>0</v>
      </c>
      <c r="L34" s="271">
        <v>0</v>
      </c>
      <c r="M34" s="61" t="s">
        <v>140</v>
      </c>
      <c r="N34" s="265">
        <v>0</v>
      </c>
      <c r="O34" s="267">
        <v>13000</v>
      </c>
    </row>
    <row r="35" spans="1:15" x14ac:dyDescent="0.2">
      <c r="A35" s="5" t="s">
        <v>171</v>
      </c>
      <c r="B35" s="38" t="s">
        <v>123</v>
      </c>
      <c r="C35" s="40" t="s">
        <v>110</v>
      </c>
      <c r="D35" s="61" t="s">
        <v>140</v>
      </c>
      <c r="E35" s="39">
        <v>45107</v>
      </c>
      <c r="F35" s="248">
        <v>13000</v>
      </c>
      <c r="G35" s="265">
        <v>13000</v>
      </c>
      <c r="H35" s="61" t="s">
        <v>140</v>
      </c>
      <c r="I35" s="271">
        <v>0</v>
      </c>
      <c r="J35" s="61" t="s">
        <v>140</v>
      </c>
      <c r="K35" s="265">
        <v>0</v>
      </c>
      <c r="L35" s="265">
        <v>0</v>
      </c>
      <c r="M35" s="61" t="s">
        <v>140</v>
      </c>
      <c r="N35" s="265">
        <v>0</v>
      </c>
      <c r="O35" s="267">
        <v>13000</v>
      </c>
    </row>
    <row r="36" spans="1:15" x14ac:dyDescent="0.2">
      <c r="A36" s="5" t="s">
        <v>171</v>
      </c>
      <c r="B36" s="63" t="s">
        <v>124</v>
      </c>
      <c r="C36" s="64" t="s">
        <v>111</v>
      </c>
      <c r="D36" s="65" t="s">
        <v>140</v>
      </c>
      <c r="E36" s="66">
        <v>44742</v>
      </c>
      <c r="F36" s="249">
        <v>13000</v>
      </c>
      <c r="G36" s="266">
        <v>13000</v>
      </c>
      <c r="H36" s="65" t="s">
        <v>140</v>
      </c>
      <c r="I36" s="271">
        <v>0</v>
      </c>
      <c r="J36" s="61" t="s">
        <v>140</v>
      </c>
      <c r="K36" s="266">
        <v>0</v>
      </c>
      <c r="L36" s="266">
        <v>0</v>
      </c>
      <c r="M36" s="65" t="s">
        <v>140</v>
      </c>
      <c r="N36" s="266">
        <v>0</v>
      </c>
      <c r="O36" s="268">
        <v>0</v>
      </c>
    </row>
    <row r="37" spans="1:15" ht="15.75" x14ac:dyDescent="0.25">
      <c r="A37" s="112" t="s">
        <v>172</v>
      </c>
      <c r="B37" s="110" t="s">
        <v>173</v>
      </c>
      <c r="C37" s="110" t="s">
        <v>173</v>
      </c>
      <c r="D37" s="110" t="s">
        <v>173</v>
      </c>
      <c r="E37" s="110" t="s">
        <v>173</v>
      </c>
      <c r="F37" s="251">
        <f>SUBTOTAL(109,ccdgeneralfund[Original
Appropriation
Amount])</f>
        <v>52000</v>
      </c>
      <c r="G37" s="269">
        <f>SUBTOTAL(109,ccdgeneralfund[[Appropriation Balances1 ]])</f>
        <v>52000</v>
      </c>
      <c r="H37" s="110" t="s">
        <v>173</v>
      </c>
      <c r="I37" s="250">
        <f>SUBTOTAL(109,ccdgeneralfund[Budget
Adjustments])</f>
        <v>0</v>
      </c>
      <c r="J37" s="110" t="s">
        <v>164</v>
      </c>
      <c r="K37" s="250">
        <f>SUBTOTAL(109,ccdgeneralfund[Add: Receipts
and Recovered Amounts])</f>
        <v>0</v>
      </c>
      <c r="L37" s="250">
        <f>SUBTOTAL(109,ccdgeneralfund[Less: Mandated Program Payments, Offsets,
and Interest
(see Schedule A1)])</f>
        <v>0</v>
      </c>
      <c r="M37" s="110" t="s">
        <v>173</v>
      </c>
      <c r="N37" s="269">
        <f>SUBTOTAL(109,ccdgeneralfund[Less: Appropriations for Reversion])</f>
        <v>0</v>
      </c>
      <c r="O37" s="270">
        <f>SUBTOTAL(109,ccdgeneralfund[Appropriation Balances
as of 8/31/2023])</f>
        <v>39000</v>
      </c>
    </row>
    <row r="38" spans="1:15" ht="15.75" x14ac:dyDescent="0.25">
      <c r="A38" s="70" t="s">
        <v>141</v>
      </c>
      <c r="B38" s="59"/>
      <c r="C38" s="60"/>
      <c r="D38" s="42"/>
      <c r="E38" s="75"/>
      <c r="F38" s="43"/>
      <c r="G38" s="43"/>
      <c r="H38" s="43"/>
      <c r="I38" s="62"/>
      <c r="J38" s="43"/>
      <c r="K38" s="43"/>
      <c r="L38" s="43"/>
      <c r="M38" s="43"/>
      <c r="N38" s="43"/>
      <c r="O38" s="76"/>
    </row>
    <row r="39" spans="1:15" ht="78" customHeight="1" x14ac:dyDescent="0.25">
      <c r="A39" s="52" t="s">
        <v>157</v>
      </c>
      <c r="B39" s="53" t="s">
        <v>99</v>
      </c>
      <c r="C39" s="53" t="s">
        <v>0</v>
      </c>
      <c r="D39" s="53" t="s">
        <v>100</v>
      </c>
      <c r="E39" s="53" t="s">
        <v>101</v>
      </c>
      <c r="F39" s="54" t="s">
        <v>102</v>
      </c>
      <c r="G39" s="52" t="s">
        <v>158</v>
      </c>
      <c r="H39" s="55" t="s">
        <v>142</v>
      </c>
      <c r="I39" s="56" t="s">
        <v>138</v>
      </c>
      <c r="J39" s="61" t="s">
        <v>140</v>
      </c>
      <c r="K39" s="56" t="s">
        <v>103</v>
      </c>
      <c r="L39" s="56" t="s">
        <v>104</v>
      </c>
      <c r="M39" s="61" t="s">
        <v>220</v>
      </c>
      <c r="N39" s="57" t="s">
        <v>105</v>
      </c>
      <c r="O39" s="54" t="s">
        <v>218</v>
      </c>
    </row>
    <row r="40" spans="1:15" x14ac:dyDescent="0.2">
      <c r="A40" s="47" t="s">
        <v>159</v>
      </c>
      <c r="B40" s="61" t="s">
        <v>140</v>
      </c>
      <c r="C40" s="61" t="s">
        <v>140</v>
      </c>
      <c r="D40" s="61" t="s">
        <v>140</v>
      </c>
      <c r="E40" s="61" t="s">
        <v>140</v>
      </c>
      <c r="F40" s="274">
        <v>312606000</v>
      </c>
      <c r="G40" s="274">
        <v>179938026</v>
      </c>
      <c r="H40" s="61" t="s">
        <v>140</v>
      </c>
      <c r="I40" s="276">
        <v>272000</v>
      </c>
      <c r="J40" s="61" t="s">
        <v>140</v>
      </c>
      <c r="K40" s="274">
        <v>259</v>
      </c>
      <c r="L40" s="276">
        <v>146726852</v>
      </c>
      <c r="M40" s="61" t="s">
        <v>140</v>
      </c>
      <c r="N40" s="276">
        <v>272021</v>
      </c>
      <c r="O40" s="277">
        <v>33211412</v>
      </c>
    </row>
    <row r="41" spans="1:15" x14ac:dyDescent="0.2">
      <c r="A41" s="5" t="s">
        <v>162</v>
      </c>
      <c r="B41" s="61" t="s">
        <v>140</v>
      </c>
      <c r="C41" s="61" t="s">
        <v>140</v>
      </c>
      <c r="D41" s="61" t="s">
        <v>140</v>
      </c>
      <c r="E41" s="61" t="s">
        <v>140</v>
      </c>
      <c r="F41" s="243">
        <v>7573000</v>
      </c>
      <c r="G41" s="243">
        <v>2205499</v>
      </c>
      <c r="H41" s="61" t="s">
        <v>140</v>
      </c>
      <c r="I41" s="243">
        <v>0</v>
      </c>
      <c r="J41" s="61" t="s">
        <v>140</v>
      </c>
      <c r="K41" s="243">
        <v>5476</v>
      </c>
      <c r="L41" s="243">
        <v>1808996</v>
      </c>
      <c r="M41" s="61" t="s">
        <v>140</v>
      </c>
      <c r="N41" s="243">
        <v>7614</v>
      </c>
      <c r="O41" s="243">
        <v>394365</v>
      </c>
    </row>
    <row r="42" spans="1:15" x14ac:dyDescent="0.2">
      <c r="A42" s="5" t="s">
        <v>165</v>
      </c>
      <c r="B42" s="61" t="s">
        <v>140</v>
      </c>
      <c r="C42" s="61" t="s">
        <v>140</v>
      </c>
      <c r="D42" s="61" t="s">
        <v>140</v>
      </c>
      <c r="E42" s="61" t="s">
        <v>140</v>
      </c>
      <c r="F42" s="243">
        <v>241000</v>
      </c>
      <c r="G42" s="243">
        <v>99000</v>
      </c>
      <c r="H42" s="61" t="s">
        <v>140</v>
      </c>
      <c r="I42" s="243">
        <v>0</v>
      </c>
      <c r="J42" s="61" t="s">
        <v>140</v>
      </c>
      <c r="K42" s="243">
        <v>0</v>
      </c>
      <c r="L42" s="243">
        <v>99000</v>
      </c>
      <c r="M42" s="61" t="s">
        <v>140</v>
      </c>
      <c r="N42" s="265">
        <v>0</v>
      </c>
      <c r="O42" s="243">
        <v>0</v>
      </c>
    </row>
    <row r="43" spans="1:15" x14ac:dyDescent="0.2">
      <c r="A43" s="5" t="s">
        <v>168</v>
      </c>
      <c r="B43" s="61" t="s">
        <v>140</v>
      </c>
      <c r="C43" s="61" t="s">
        <v>140</v>
      </c>
      <c r="D43" s="61" t="s">
        <v>140</v>
      </c>
      <c r="E43" s="61" t="s">
        <v>140</v>
      </c>
      <c r="F43" s="243">
        <v>195000</v>
      </c>
      <c r="G43" s="275">
        <v>115000</v>
      </c>
      <c r="H43" s="61" t="s">
        <v>140</v>
      </c>
      <c r="I43" s="275">
        <v>0</v>
      </c>
      <c r="J43" s="61" t="s">
        <v>140</v>
      </c>
      <c r="K43" s="275">
        <v>0</v>
      </c>
      <c r="L43" s="243">
        <v>24000</v>
      </c>
      <c r="M43" s="61" t="s">
        <v>140</v>
      </c>
      <c r="N43" s="243">
        <v>17000</v>
      </c>
      <c r="O43" s="243">
        <v>74000</v>
      </c>
    </row>
    <row r="44" spans="1:15" x14ac:dyDescent="0.2">
      <c r="A44" s="5" t="s">
        <v>171</v>
      </c>
      <c r="B44" s="65" t="s">
        <v>140</v>
      </c>
      <c r="C44" s="65" t="s">
        <v>140</v>
      </c>
      <c r="D44" s="65" t="s">
        <v>140</v>
      </c>
      <c r="E44" s="65" t="s">
        <v>140</v>
      </c>
      <c r="F44" s="243">
        <v>52000</v>
      </c>
      <c r="G44" s="272">
        <v>39000</v>
      </c>
      <c r="H44" s="65" t="s">
        <v>140</v>
      </c>
      <c r="I44" s="275">
        <v>0</v>
      </c>
      <c r="J44" s="65" t="s">
        <v>140</v>
      </c>
      <c r="K44" s="243">
        <v>0</v>
      </c>
      <c r="L44" s="243">
        <v>0</v>
      </c>
      <c r="M44" s="65" t="s">
        <v>140</v>
      </c>
      <c r="N44" s="272">
        <v>0</v>
      </c>
      <c r="O44" s="275">
        <v>39000</v>
      </c>
    </row>
    <row r="45" spans="1:15" ht="15.75" x14ac:dyDescent="0.25">
      <c r="A45" s="72" t="s">
        <v>152</v>
      </c>
      <c r="B45" s="114" t="s">
        <v>161</v>
      </c>
      <c r="C45" s="114" t="s">
        <v>161</v>
      </c>
      <c r="D45" s="114" t="s">
        <v>161</v>
      </c>
      <c r="E45" s="114" t="s">
        <v>161</v>
      </c>
      <c r="F45" s="244">
        <f>SUBTOTAL(109,grandtotala[Original
Appropriation
Amount])</f>
        <v>320667000</v>
      </c>
      <c r="G45" s="244">
        <f>SUBTOTAL(109,grandtotala[[Appropriation Balances1 ]])</f>
        <v>182396525</v>
      </c>
      <c r="H45" s="114" t="s">
        <v>161</v>
      </c>
      <c r="I45" s="244">
        <f>SUBTOTAL(109,grandtotala[Budget
Adjustments])</f>
        <v>272000</v>
      </c>
      <c r="J45" s="114" t="s">
        <v>161</v>
      </c>
      <c r="K45" s="244">
        <f>SUBTOTAL(109,grandtotala[Add: Receipts
and Recovered Amounts])</f>
        <v>5735</v>
      </c>
      <c r="L45" s="244">
        <f>SUBTOTAL(109,grandtotala[Less: Mandated Program Payments, Offsets,
and Interest
(see Schedule A1)])</f>
        <v>148658848</v>
      </c>
      <c r="M45" s="114" t="s">
        <v>161</v>
      </c>
      <c r="N45" s="244">
        <f>SUBTOTAL(109,grandtotala[Less: Appropriations for Reversion])</f>
        <v>296635</v>
      </c>
      <c r="O45" s="244">
        <f>SUBTOTAL(109,grandtotala[Appropriation Balances
as of 8/31/2023])</f>
        <v>33718777</v>
      </c>
    </row>
    <row r="46" spans="1:15" x14ac:dyDescent="0.2">
      <c r="A46" s="5" t="s">
        <v>647</v>
      </c>
    </row>
    <row r="47" spans="1:15" ht="18" x14ac:dyDescent="0.2">
      <c r="A47" s="5" t="s">
        <v>221</v>
      </c>
    </row>
    <row r="48" spans="1:15" ht="18" x14ac:dyDescent="0.2">
      <c r="A48" s="85" t="s">
        <v>222</v>
      </c>
    </row>
    <row r="49" spans="1:1" ht="18" x14ac:dyDescent="0.2">
      <c r="A49" s="5" t="s">
        <v>648</v>
      </c>
    </row>
    <row r="50" spans="1:1" x14ac:dyDescent="0.2">
      <c r="A50" s="85"/>
    </row>
  </sheetData>
  <hyperlinks>
    <hyperlink ref="G2" location="'Schedule A-Summary '!A46" display="Appropriation Balances1"/>
    <hyperlink ref="J6" location="'Schedule A-Summary '!A46" display="'Schedule A-Summary '!A46"/>
    <hyperlink ref="J7" location="'Schedule A-Summary '!A46" display="'Schedule A-Summary '!A46"/>
    <hyperlink ref="G11" location="'Schedule A-Summary '!A46" display="Appropriation Balances1 "/>
  </hyperlinks>
  <printOptions horizontalCentered="1" gridLines="1"/>
  <pageMargins left="0.25" right="0.25" top="0.75" bottom="0.75" header="0.3" footer="0.3"/>
  <pageSetup scale="47" fitToHeight="0" orientation="landscape" r:id="rId1"/>
  <headerFooter>
    <oddFooter>&amp;L&amp;"Arial,Regular"&amp;12Schedule A: Summary of State-Mandated Program Appropriations, Receipts, and Payments&amp;R&amp;"Arial,Regular"&amp;12Page &amp;P of &amp;N</oddFooter>
  </headerFooter>
  <rowBreaks count="1" manualBreakCount="1">
    <brk id="38" max="14" man="1"/>
  </rowBreaks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0"/>
  <sheetViews>
    <sheetView topLeftCell="E55" zoomScale="90" zoomScaleNormal="90" zoomScaleSheetLayoutView="40" zoomScalePageLayoutView="85" workbookViewId="0">
      <selection activeCell="K80" sqref="K80"/>
    </sheetView>
  </sheetViews>
  <sheetFormatPr defaultRowHeight="15" x14ac:dyDescent="0.2"/>
  <cols>
    <col min="1" max="1" width="35.5703125" style="2" customWidth="1"/>
    <col min="2" max="2" width="11.7109375" style="1" customWidth="1"/>
    <col min="3" max="3" width="29.140625" style="1" bestFit="1" customWidth="1"/>
    <col min="4" max="4" width="90" style="2" customWidth="1"/>
    <col min="5" max="5" width="15.28515625" style="1" customWidth="1"/>
    <col min="6" max="6" width="15.140625" style="1" customWidth="1"/>
    <col min="7" max="7" width="38.5703125" style="17" customWidth="1"/>
    <col min="8" max="8" width="15.140625" style="2" customWidth="1"/>
    <col min="9" max="9" width="17.140625" style="18" customWidth="1"/>
    <col min="10" max="16384" width="9.140625" style="2"/>
  </cols>
  <sheetData>
    <row r="1" spans="1:9" ht="54" x14ac:dyDescent="0.25">
      <c r="A1" s="3" t="s">
        <v>223</v>
      </c>
      <c r="B1" s="19"/>
      <c r="C1" s="19"/>
      <c r="D1" s="20"/>
      <c r="E1" s="20"/>
      <c r="F1" s="20"/>
      <c r="G1" s="21"/>
      <c r="H1" s="20"/>
      <c r="I1" s="22"/>
    </row>
    <row r="2" spans="1:9" ht="48" customHeight="1" x14ac:dyDescent="0.25">
      <c r="A2" s="6" t="s">
        <v>144</v>
      </c>
      <c r="B2" s="27" t="s">
        <v>145</v>
      </c>
      <c r="C2" s="6" t="s">
        <v>146</v>
      </c>
      <c r="D2" s="27" t="s">
        <v>147</v>
      </c>
      <c r="E2" s="27" t="s">
        <v>148</v>
      </c>
      <c r="F2" s="27" t="s">
        <v>139</v>
      </c>
      <c r="G2" s="28" t="s">
        <v>126</v>
      </c>
      <c r="H2" s="27" t="s">
        <v>127</v>
      </c>
      <c r="I2" s="29" t="s">
        <v>149</v>
      </c>
    </row>
    <row r="3" spans="1:9" x14ac:dyDescent="0.2">
      <c r="A3" s="2" t="s">
        <v>143</v>
      </c>
      <c r="B3" s="115" t="s">
        <v>217</v>
      </c>
      <c r="C3" s="1" t="s">
        <v>209</v>
      </c>
      <c r="D3" s="35" t="s">
        <v>50</v>
      </c>
      <c r="E3" s="117" t="s">
        <v>30</v>
      </c>
      <c r="F3" s="16">
        <v>152</v>
      </c>
      <c r="G3" s="283">
        <v>736594</v>
      </c>
      <c r="H3" s="284">
        <v>0</v>
      </c>
      <c r="I3" s="284">
        <v>736594</v>
      </c>
    </row>
    <row r="4" spans="1:9" x14ac:dyDescent="0.2">
      <c r="A4" s="2" t="s">
        <v>143</v>
      </c>
      <c r="B4" s="115" t="s">
        <v>217</v>
      </c>
      <c r="C4" s="1" t="s">
        <v>209</v>
      </c>
      <c r="D4" s="35" t="s">
        <v>63</v>
      </c>
      <c r="E4" s="117" t="s">
        <v>43</v>
      </c>
      <c r="F4" s="16">
        <v>90</v>
      </c>
      <c r="G4" s="283">
        <v>415039</v>
      </c>
      <c r="H4" s="284">
        <v>0</v>
      </c>
      <c r="I4" s="284">
        <v>415039</v>
      </c>
    </row>
    <row r="5" spans="1:9" x14ac:dyDescent="0.2">
      <c r="A5" s="2" t="s">
        <v>143</v>
      </c>
      <c r="B5" s="115" t="s">
        <v>217</v>
      </c>
      <c r="C5" s="1" t="s">
        <v>209</v>
      </c>
      <c r="D5" s="35" t="s">
        <v>51</v>
      </c>
      <c r="E5" s="117" t="s">
        <v>31</v>
      </c>
      <c r="F5" s="16">
        <v>262</v>
      </c>
      <c r="G5" s="283">
        <v>203460</v>
      </c>
      <c r="H5" s="284">
        <v>0</v>
      </c>
      <c r="I5" s="284">
        <v>203460</v>
      </c>
    </row>
    <row r="6" spans="1:9" x14ac:dyDescent="0.2">
      <c r="A6" s="2" t="s">
        <v>143</v>
      </c>
      <c r="B6" s="115" t="s">
        <v>217</v>
      </c>
      <c r="C6" s="1" t="s">
        <v>209</v>
      </c>
      <c r="D6" s="35" t="s">
        <v>130</v>
      </c>
      <c r="E6" s="117" t="s">
        <v>134</v>
      </c>
      <c r="F6" s="16">
        <v>13</v>
      </c>
      <c r="G6" s="283">
        <v>11733299</v>
      </c>
      <c r="H6" s="284">
        <v>0</v>
      </c>
      <c r="I6" s="284">
        <v>11733299</v>
      </c>
    </row>
    <row r="7" spans="1:9" x14ac:dyDescent="0.2">
      <c r="A7" s="2" t="s">
        <v>143</v>
      </c>
      <c r="B7" s="115" t="s">
        <v>217</v>
      </c>
      <c r="C7" s="1" t="s">
        <v>209</v>
      </c>
      <c r="D7" s="35" t="s">
        <v>52</v>
      </c>
      <c r="E7" s="117" t="s">
        <v>32</v>
      </c>
      <c r="F7" s="16">
        <v>167</v>
      </c>
      <c r="G7" s="283">
        <v>10501498</v>
      </c>
      <c r="H7" s="284">
        <v>0</v>
      </c>
      <c r="I7" s="284">
        <v>10501498</v>
      </c>
    </row>
    <row r="8" spans="1:9" x14ac:dyDescent="0.2">
      <c r="A8" s="2" t="s">
        <v>143</v>
      </c>
      <c r="B8" s="115" t="s">
        <v>217</v>
      </c>
      <c r="C8" s="1" t="s">
        <v>209</v>
      </c>
      <c r="D8" s="35" t="s">
        <v>53</v>
      </c>
      <c r="E8" s="117" t="s">
        <v>33</v>
      </c>
      <c r="F8" s="16">
        <v>274</v>
      </c>
      <c r="G8" s="283">
        <v>2475193</v>
      </c>
      <c r="H8" s="284">
        <v>0</v>
      </c>
      <c r="I8" s="284">
        <v>2475193</v>
      </c>
    </row>
    <row r="9" spans="1:9" x14ac:dyDescent="0.2">
      <c r="A9" s="2" t="s">
        <v>143</v>
      </c>
      <c r="B9" s="115" t="s">
        <v>217</v>
      </c>
      <c r="C9" s="1" t="s">
        <v>209</v>
      </c>
      <c r="D9" s="15" t="s">
        <v>131</v>
      </c>
      <c r="E9" s="117" t="s">
        <v>135</v>
      </c>
      <c r="F9" s="16">
        <v>177</v>
      </c>
      <c r="G9" s="283">
        <v>2564892</v>
      </c>
      <c r="H9" s="284">
        <v>0</v>
      </c>
      <c r="I9" s="284">
        <v>2564892</v>
      </c>
    </row>
    <row r="10" spans="1:9" x14ac:dyDescent="0.2">
      <c r="A10" s="2" t="s">
        <v>143</v>
      </c>
      <c r="B10" s="115" t="s">
        <v>217</v>
      </c>
      <c r="C10" s="1" t="s">
        <v>209</v>
      </c>
      <c r="D10" s="35" t="s">
        <v>132</v>
      </c>
      <c r="E10" s="117" t="s">
        <v>136</v>
      </c>
      <c r="F10" s="16">
        <v>197</v>
      </c>
      <c r="G10" s="283">
        <v>2009474</v>
      </c>
      <c r="H10" s="284">
        <v>0</v>
      </c>
      <c r="I10" s="284">
        <v>2009474</v>
      </c>
    </row>
    <row r="11" spans="1:9" x14ac:dyDescent="0.2">
      <c r="A11" s="2" t="s">
        <v>143</v>
      </c>
      <c r="B11" s="115" t="s">
        <v>217</v>
      </c>
      <c r="C11" s="1" t="s">
        <v>209</v>
      </c>
      <c r="D11" s="35" t="s">
        <v>54</v>
      </c>
      <c r="E11" s="117" t="s">
        <v>34</v>
      </c>
      <c r="F11" s="16">
        <v>371</v>
      </c>
      <c r="G11" s="283">
        <v>28674</v>
      </c>
      <c r="H11" s="284">
        <v>0</v>
      </c>
      <c r="I11" s="284">
        <v>28674</v>
      </c>
    </row>
    <row r="12" spans="1:9" x14ac:dyDescent="0.2">
      <c r="A12" s="2" t="s">
        <v>143</v>
      </c>
      <c r="B12" s="115" t="s">
        <v>217</v>
      </c>
      <c r="C12" s="1" t="s">
        <v>209</v>
      </c>
      <c r="D12" s="35" t="s">
        <v>55</v>
      </c>
      <c r="E12" s="117" t="s">
        <v>35</v>
      </c>
      <c r="F12" s="16">
        <v>334</v>
      </c>
      <c r="G12" s="283">
        <v>10323</v>
      </c>
      <c r="H12" s="284">
        <v>0</v>
      </c>
      <c r="I12" s="284">
        <v>10323</v>
      </c>
    </row>
    <row r="13" spans="1:9" x14ac:dyDescent="0.2">
      <c r="A13" s="2" t="s">
        <v>143</v>
      </c>
      <c r="B13" s="115" t="s">
        <v>217</v>
      </c>
      <c r="C13" s="1" t="s">
        <v>209</v>
      </c>
      <c r="D13" s="35" t="s">
        <v>56</v>
      </c>
      <c r="E13" s="117" t="s">
        <v>36</v>
      </c>
      <c r="F13" s="16">
        <v>43</v>
      </c>
      <c r="G13" s="283">
        <v>12868</v>
      </c>
      <c r="H13" s="284">
        <v>0</v>
      </c>
      <c r="I13" s="284">
        <v>12868</v>
      </c>
    </row>
    <row r="14" spans="1:9" s="5" customFormat="1" x14ac:dyDescent="0.2">
      <c r="A14" s="5" t="s">
        <v>143</v>
      </c>
      <c r="B14" s="115" t="s">
        <v>217</v>
      </c>
      <c r="C14" s="83" t="s">
        <v>209</v>
      </c>
      <c r="D14" s="35" t="s">
        <v>49</v>
      </c>
      <c r="E14" s="117" t="s">
        <v>47</v>
      </c>
      <c r="F14" s="16">
        <v>373</v>
      </c>
      <c r="G14" s="280">
        <v>497311</v>
      </c>
      <c r="H14" s="243">
        <v>0</v>
      </c>
      <c r="I14" s="243">
        <v>497311</v>
      </c>
    </row>
    <row r="15" spans="1:9" x14ac:dyDescent="0.2">
      <c r="A15" s="2" t="s">
        <v>143</v>
      </c>
      <c r="B15" s="115" t="s">
        <v>217</v>
      </c>
      <c r="C15" s="1" t="s">
        <v>209</v>
      </c>
      <c r="D15" s="15" t="s">
        <v>58</v>
      </c>
      <c r="E15" s="117" t="s">
        <v>38</v>
      </c>
      <c r="F15" s="16">
        <v>264</v>
      </c>
      <c r="G15" s="283">
        <v>842672</v>
      </c>
      <c r="H15" s="284">
        <v>0</v>
      </c>
      <c r="I15" s="284">
        <v>842672</v>
      </c>
    </row>
    <row r="16" spans="1:9" x14ac:dyDescent="0.2">
      <c r="A16" s="2" t="s">
        <v>143</v>
      </c>
      <c r="B16" s="115" t="s">
        <v>217</v>
      </c>
      <c r="C16" s="1" t="s">
        <v>209</v>
      </c>
      <c r="D16" s="35" t="s">
        <v>92</v>
      </c>
      <c r="E16" s="117" t="s">
        <v>93</v>
      </c>
      <c r="F16" s="16">
        <v>375</v>
      </c>
      <c r="G16" s="283">
        <v>20098142</v>
      </c>
      <c r="H16" s="284">
        <v>0</v>
      </c>
      <c r="I16" s="284">
        <v>20098142</v>
      </c>
    </row>
    <row r="17" spans="1:9" s="5" customFormat="1" x14ac:dyDescent="0.2">
      <c r="A17" s="5" t="s">
        <v>143</v>
      </c>
      <c r="B17" s="115" t="s">
        <v>217</v>
      </c>
      <c r="C17" s="83" t="s">
        <v>209</v>
      </c>
      <c r="D17" s="35" t="s">
        <v>59</v>
      </c>
      <c r="E17" s="117" t="s">
        <v>39</v>
      </c>
      <c r="F17" s="16">
        <v>127</v>
      </c>
      <c r="G17" s="280">
        <v>620309</v>
      </c>
      <c r="H17" s="243">
        <v>0</v>
      </c>
      <c r="I17" s="243">
        <v>620309</v>
      </c>
    </row>
    <row r="18" spans="1:9" x14ac:dyDescent="0.2">
      <c r="A18" s="2" t="s">
        <v>143</v>
      </c>
      <c r="B18" s="115" t="s">
        <v>217</v>
      </c>
      <c r="C18" s="1" t="s">
        <v>209</v>
      </c>
      <c r="D18" s="35" t="s">
        <v>97</v>
      </c>
      <c r="E18" s="117" t="s">
        <v>98</v>
      </c>
      <c r="F18" s="16">
        <v>378</v>
      </c>
      <c r="G18" s="283">
        <v>8516920</v>
      </c>
      <c r="H18" s="284">
        <v>0</v>
      </c>
      <c r="I18" s="284">
        <v>8516920</v>
      </c>
    </row>
    <row r="19" spans="1:9" x14ac:dyDescent="0.2">
      <c r="A19" s="2" t="s">
        <v>143</v>
      </c>
      <c r="B19" s="115" t="s">
        <v>217</v>
      </c>
      <c r="C19" s="1" t="s">
        <v>209</v>
      </c>
      <c r="D19" s="35" t="s">
        <v>61</v>
      </c>
      <c r="E19" s="117" t="s">
        <v>41</v>
      </c>
      <c r="F19" s="16">
        <v>175</v>
      </c>
      <c r="G19" s="283">
        <v>15990898</v>
      </c>
      <c r="H19" s="284">
        <v>0</v>
      </c>
      <c r="I19" s="284">
        <v>15990898</v>
      </c>
    </row>
    <row r="20" spans="1:9" x14ac:dyDescent="0.2">
      <c r="A20" s="2" t="s">
        <v>143</v>
      </c>
      <c r="B20" s="115" t="s">
        <v>217</v>
      </c>
      <c r="C20" s="1" t="s">
        <v>209</v>
      </c>
      <c r="D20" s="35" t="s">
        <v>60</v>
      </c>
      <c r="E20" s="117" t="s">
        <v>40</v>
      </c>
      <c r="F20" s="16">
        <v>360</v>
      </c>
      <c r="G20" s="283">
        <v>583118</v>
      </c>
      <c r="H20" s="284">
        <v>0</v>
      </c>
      <c r="I20" s="284">
        <v>583118</v>
      </c>
    </row>
    <row r="21" spans="1:9" s="5" customFormat="1" x14ac:dyDescent="0.2">
      <c r="A21" s="5" t="s">
        <v>143</v>
      </c>
      <c r="B21" s="115" t="s">
        <v>217</v>
      </c>
      <c r="C21" s="83" t="s">
        <v>209</v>
      </c>
      <c r="D21" s="35" t="s">
        <v>90</v>
      </c>
      <c r="E21" s="117" t="s">
        <v>91</v>
      </c>
      <c r="F21" s="16">
        <v>163</v>
      </c>
      <c r="G21" s="280">
        <v>2225</v>
      </c>
      <c r="H21" s="243">
        <v>0</v>
      </c>
      <c r="I21" s="243">
        <v>2225</v>
      </c>
    </row>
    <row r="22" spans="1:9" x14ac:dyDescent="0.2">
      <c r="A22" s="2" t="s">
        <v>143</v>
      </c>
      <c r="B22" s="115" t="s">
        <v>217</v>
      </c>
      <c r="C22" s="1" t="s">
        <v>209</v>
      </c>
      <c r="D22" s="35" t="s">
        <v>133</v>
      </c>
      <c r="E22" s="117" t="s">
        <v>137</v>
      </c>
      <c r="F22" s="16">
        <v>345</v>
      </c>
      <c r="G22" s="283">
        <v>107177</v>
      </c>
      <c r="H22" s="284">
        <v>0</v>
      </c>
      <c r="I22" s="284">
        <v>107177</v>
      </c>
    </row>
    <row r="23" spans="1:9" x14ac:dyDescent="0.2">
      <c r="A23" s="2" t="s">
        <v>143</v>
      </c>
      <c r="B23" s="115" t="s">
        <v>217</v>
      </c>
      <c r="C23" s="1" t="s">
        <v>209</v>
      </c>
      <c r="D23" s="35" t="s">
        <v>62</v>
      </c>
      <c r="E23" s="117" t="s">
        <v>42</v>
      </c>
      <c r="F23" s="16">
        <v>372</v>
      </c>
      <c r="G23" s="283">
        <v>2101511</v>
      </c>
      <c r="H23" s="284">
        <v>0</v>
      </c>
      <c r="I23" s="284">
        <v>2101511</v>
      </c>
    </row>
    <row r="24" spans="1:9" x14ac:dyDescent="0.2">
      <c r="A24" s="2" t="s">
        <v>143</v>
      </c>
      <c r="B24" s="115" t="s">
        <v>217</v>
      </c>
      <c r="C24" s="1" t="s">
        <v>209</v>
      </c>
      <c r="D24" s="35" t="s">
        <v>94</v>
      </c>
      <c r="E24" s="117" t="s">
        <v>95</v>
      </c>
      <c r="F24" s="16">
        <v>377</v>
      </c>
      <c r="G24" s="283">
        <v>3239040</v>
      </c>
      <c r="H24" s="284">
        <v>0</v>
      </c>
      <c r="I24" s="284">
        <v>3239040</v>
      </c>
    </row>
    <row r="25" spans="1:9" s="5" customFormat="1" x14ac:dyDescent="0.2">
      <c r="A25" s="5" t="s">
        <v>143</v>
      </c>
      <c r="B25" s="115" t="s">
        <v>96</v>
      </c>
      <c r="C25" s="83" t="s">
        <v>209</v>
      </c>
      <c r="D25" s="35" t="s">
        <v>92</v>
      </c>
      <c r="E25" s="117" t="s">
        <v>93</v>
      </c>
      <c r="F25" s="16">
        <v>375</v>
      </c>
      <c r="G25" s="280">
        <v>10839348</v>
      </c>
      <c r="H25" s="243">
        <v>0</v>
      </c>
      <c r="I25" s="243">
        <v>10839348</v>
      </c>
    </row>
    <row r="26" spans="1:9" s="5" customFormat="1" x14ac:dyDescent="0.2">
      <c r="A26" s="5" t="s">
        <v>143</v>
      </c>
      <c r="B26" s="116" t="s">
        <v>96</v>
      </c>
      <c r="C26" s="83" t="s">
        <v>209</v>
      </c>
      <c r="D26" s="34" t="s">
        <v>97</v>
      </c>
      <c r="E26" s="13" t="s">
        <v>98</v>
      </c>
      <c r="F26" s="42">
        <v>378</v>
      </c>
      <c r="G26" s="280">
        <v>2445779</v>
      </c>
      <c r="H26" s="243">
        <v>0</v>
      </c>
      <c r="I26" s="243">
        <v>2445779</v>
      </c>
    </row>
    <row r="27" spans="1:9" s="5" customFormat="1" x14ac:dyDescent="0.2">
      <c r="A27" s="5" t="s">
        <v>143</v>
      </c>
      <c r="B27" s="116" t="s">
        <v>96</v>
      </c>
      <c r="C27" s="83" t="s">
        <v>209</v>
      </c>
      <c r="D27" s="34" t="s">
        <v>90</v>
      </c>
      <c r="E27" s="13" t="s">
        <v>91</v>
      </c>
      <c r="F27" s="42">
        <v>163</v>
      </c>
      <c r="G27" s="280">
        <v>40273</v>
      </c>
      <c r="H27" s="243">
        <v>0</v>
      </c>
      <c r="I27" s="243">
        <v>40273</v>
      </c>
    </row>
    <row r="28" spans="1:9" s="5" customFormat="1" x14ac:dyDescent="0.2">
      <c r="A28" s="5" t="s">
        <v>143</v>
      </c>
      <c r="B28" s="116" t="s">
        <v>46</v>
      </c>
      <c r="C28" s="83" t="s">
        <v>209</v>
      </c>
      <c r="D28" s="34" t="s">
        <v>226</v>
      </c>
      <c r="E28" s="13" t="s">
        <v>225</v>
      </c>
      <c r="F28" s="42">
        <v>379</v>
      </c>
      <c r="G28" s="280">
        <v>20494</v>
      </c>
      <c r="H28" s="243">
        <v>0</v>
      </c>
      <c r="I28" s="243">
        <v>20494</v>
      </c>
    </row>
    <row r="29" spans="1:9" s="5" customFormat="1" x14ac:dyDescent="0.2">
      <c r="A29" s="5" t="s">
        <v>143</v>
      </c>
      <c r="B29" s="116" t="s">
        <v>46</v>
      </c>
      <c r="C29" s="83" t="s">
        <v>209</v>
      </c>
      <c r="D29" s="34" t="s">
        <v>92</v>
      </c>
      <c r="E29" s="13" t="s">
        <v>93</v>
      </c>
      <c r="F29" s="42">
        <v>375</v>
      </c>
      <c r="G29" s="280">
        <v>11397802</v>
      </c>
      <c r="H29" s="243">
        <v>0</v>
      </c>
      <c r="I29" s="243">
        <v>11397802</v>
      </c>
    </row>
    <row r="30" spans="1:9" s="5" customFormat="1" x14ac:dyDescent="0.2">
      <c r="A30" s="5" t="s">
        <v>143</v>
      </c>
      <c r="B30" s="116" t="s">
        <v>46</v>
      </c>
      <c r="C30" s="83" t="s">
        <v>209</v>
      </c>
      <c r="D30" s="34" t="s">
        <v>97</v>
      </c>
      <c r="E30" s="13" t="s">
        <v>98</v>
      </c>
      <c r="F30" s="42">
        <v>378</v>
      </c>
      <c r="G30" s="280">
        <v>1176268</v>
      </c>
      <c r="H30" s="243">
        <v>0</v>
      </c>
      <c r="I30" s="243">
        <v>1176268</v>
      </c>
    </row>
    <row r="31" spans="1:9" s="5" customFormat="1" x14ac:dyDescent="0.2">
      <c r="A31" s="5" t="s">
        <v>143</v>
      </c>
      <c r="B31" s="116" t="s">
        <v>46</v>
      </c>
      <c r="C31" s="83" t="s">
        <v>209</v>
      </c>
      <c r="D31" s="34" t="s">
        <v>90</v>
      </c>
      <c r="E31" s="13" t="s">
        <v>91</v>
      </c>
      <c r="F31" s="42">
        <v>163</v>
      </c>
      <c r="G31" s="280">
        <v>26713</v>
      </c>
      <c r="H31" s="243">
        <v>0</v>
      </c>
      <c r="I31" s="243">
        <v>26713</v>
      </c>
    </row>
    <row r="32" spans="1:9" s="5" customFormat="1" x14ac:dyDescent="0.2">
      <c r="A32" s="5" t="s">
        <v>143</v>
      </c>
      <c r="B32" s="116" t="s">
        <v>2</v>
      </c>
      <c r="C32" s="83" t="s">
        <v>209</v>
      </c>
      <c r="D32" s="34" t="s">
        <v>92</v>
      </c>
      <c r="E32" s="13" t="s">
        <v>93</v>
      </c>
      <c r="F32" s="42">
        <v>375</v>
      </c>
      <c r="G32" s="280">
        <v>13246546</v>
      </c>
      <c r="H32" s="243">
        <v>0</v>
      </c>
      <c r="I32" s="243">
        <v>13246546</v>
      </c>
    </row>
    <row r="33" spans="1:9" s="5" customFormat="1" x14ac:dyDescent="0.2">
      <c r="A33" s="5" t="s">
        <v>143</v>
      </c>
      <c r="B33" s="116" t="s">
        <v>2</v>
      </c>
      <c r="C33" s="83" t="s">
        <v>209</v>
      </c>
      <c r="D33" s="34" t="s">
        <v>90</v>
      </c>
      <c r="E33" s="13" t="s">
        <v>91</v>
      </c>
      <c r="F33" s="42">
        <v>163</v>
      </c>
      <c r="G33" s="280">
        <v>12770</v>
      </c>
      <c r="H33" s="243">
        <v>0</v>
      </c>
      <c r="I33" s="243">
        <v>12770</v>
      </c>
    </row>
    <row r="34" spans="1:9" s="5" customFormat="1" x14ac:dyDescent="0.2">
      <c r="A34" s="5" t="s">
        <v>143</v>
      </c>
      <c r="B34" s="116" t="s">
        <v>3</v>
      </c>
      <c r="C34" s="83" t="s">
        <v>209</v>
      </c>
      <c r="D34" s="34" t="s">
        <v>92</v>
      </c>
      <c r="E34" s="13" t="s">
        <v>93</v>
      </c>
      <c r="F34" s="42">
        <v>375</v>
      </c>
      <c r="G34" s="280">
        <v>1402720</v>
      </c>
      <c r="H34" s="243">
        <v>0</v>
      </c>
      <c r="I34" s="243">
        <v>1402720</v>
      </c>
    </row>
    <row r="35" spans="1:9" s="5" customFormat="1" x14ac:dyDescent="0.2">
      <c r="A35" s="5" t="s">
        <v>143</v>
      </c>
      <c r="B35" s="116" t="s">
        <v>3</v>
      </c>
      <c r="C35" s="83" t="s">
        <v>209</v>
      </c>
      <c r="D35" s="34" t="s">
        <v>90</v>
      </c>
      <c r="E35" s="13" t="s">
        <v>91</v>
      </c>
      <c r="F35" s="42">
        <v>163</v>
      </c>
      <c r="G35" s="280">
        <v>55019</v>
      </c>
      <c r="H35" s="243">
        <v>0</v>
      </c>
      <c r="I35" s="243">
        <v>55019</v>
      </c>
    </row>
    <row r="36" spans="1:9" s="5" customFormat="1" ht="15.75" x14ac:dyDescent="0.25">
      <c r="A36" s="112" t="s">
        <v>224</v>
      </c>
      <c r="B36" s="118" t="s">
        <v>140</v>
      </c>
      <c r="C36" s="118" t="s">
        <v>140</v>
      </c>
      <c r="D36" s="118" t="s">
        <v>140</v>
      </c>
      <c r="E36" s="118" t="s">
        <v>140</v>
      </c>
      <c r="F36" s="118" t="s">
        <v>140</v>
      </c>
      <c r="G36" s="250">
        <f>SUBTOTAL(109,localannualclaim22[Program Payments and Offsets])</f>
        <v>123954369</v>
      </c>
      <c r="H36" s="250">
        <f>SUBTOTAL(109,localannualclaim22[Interest
Payments and Offsets])</f>
        <v>0</v>
      </c>
      <c r="I36" s="250">
        <f>SUBTOTAL(109,localannualclaim22[Total 
Payments])</f>
        <v>123954369</v>
      </c>
    </row>
    <row r="37" spans="1:9" s="5" customFormat="1" ht="15.75" x14ac:dyDescent="0.25">
      <c r="A37" s="119" t="s">
        <v>141</v>
      </c>
      <c r="B37" s="89"/>
      <c r="C37" s="89"/>
      <c r="D37" s="120"/>
      <c r="E37" s="120"/>
      <c r="F37" s="89"/>
      <c r="G37" s="26"/>
      <c r="H37" s="26"/>
      <c r="I37" s="26"/>
    </row>
    <row r="38" spans="1:9" s="5" customFormat="1" ht="48" customHeight="1" x14ac:dyDescent="0.25">
      <c r="A38" s="10" t="s">
        <v>144</v>
      </c>
      <c r="B38" s="121" t="s">
        <v>145</v>
      </c>
      <c r="C38" s="10" t="s">
        <v>146</v>
      </c>
      <c r="D38" s="121" t="s">
        <v>147</v>
      </c>
      <c r="E38" s="121" t="s">
        <v>148</v>
      </c>
      <c r="F38" s="121" t="s">
        <v>139</v>
      </c>
      <c r="G38" s="23" t="s">
        <v>126</v>
      </c>
      <c r="H38" s="121" t="s">
        <v>127</v>
      </c>
      <c r="I38" s="122" t="s">
        <v>149</v>
      </c>
    </row>
    <row r="39" spans="1:9" s="5" customFormat="1" x14ac:dyDescent="0.2">
      <c r="A39" s="5" t="s">
        <v>143</v>
      </c>
      <c r="B39" s="116" t="s">
        <v>46</v>
      </c>
      <c r="C39" s="123" t="s">
        <v>210</v>
      </c>
      <c r="D39" s="34" t="s">
        <v>50</v>
      </c>
      <c r="E39" s="13" t="s">
        <v>30</v>
      </c>
      <c r="F39" s="42">
        <v>152</v>
      </c>
      <c r="G39" s="280">
        <v>169329</v>
      </c>
      <c r="H39" s="280">
        <v>0</v>
      </c>
      <c r="I39" s="259">
        <v>169329</v>
      </c>
    </row>
    <row r="40" spans="1:9" s="5" customFormat="1" x14ac:dyDescent="0.2">
      <c r="A40" s="5" t="s">
        <v>143</v>
      </c>
      <c r="B40" s="116" t="s">
        <v>46</v>
      </c>
      <c r="C40" s="123" t="s">
        <v>210</v>
      </c>
      <c r="D40" s="34" t="s">
        <v>51</v>
      </c>
      <c r="E40" s="13" t="s">
        <v>31</v>
      </c>
      <c r="F40" s="42">
        <v>262</v>
      </c>
      <c r="G40" s="281">
        <v>1639</v>
      </c>
      <c r="H40" s="281">
        <v>0</v>
      </c>
      <c r="I40" s="282">
        <v>1639</v>
      </c>
    </row>
    <row r="41" spans="1:9" s="5" customFormat="1" x14ac:dyDescent="0.2">
      <c r="A41" s="5" t="s">
        <v>143</v>
      </c>
      <c r="B41" s="116" t="s">
        <v>46</v>
      </c>
      <c r="C41" s="123" t="s">
        <v>210</v>
      </c>
      <c r="D41" s="34" t="s">
        <v>52</v>
      </c>
      <c r="E41" s="13" t="s">
        <v>32</v>
      </c>
      <c r="F41" s="42">
        <v>167</v>
      </c>
      <c r="G41" s="281">
        <v>82641</v>
      </c>
      <c r="H41" s="281">
        <v>0</v>
      </c>
      <c r="I41" s="282">
        <v>82641</v>
      </c>
    </row>
    <row r="42" spans="1:9" s="5" customFormat="1" x14ac:dyDescent="0.2">
      <c r="A42" s="5" t="s">
        <v>143</v>
      </c>
      <c r="B42" s="116" t="s">
        <v>46</v>
      </c>
      <c r="C42" s="123" t="s">
        <v>210</v>
      </c>
      <c r="D42" s="34" t="s">
        <v>53</v>
      </c>
      <c r="E42" s="13" t="s">
        <v>33</v>
      </c>
      <c r="F42" s="42">
        <v>274</v>
      </c>
      <c r="G42" s="281">
        <v>106660</v>
      </c>
      <c r="H42" s="281">
        <v>0</v>
      </c>
      <c r="I42" s="282">
        <v>106660</v>
      </c>
    </row>
    <row r="43" spans="1:9" s="5" customFormat="1" x14ac:dyDescent="0.2">
      <c r="A43" s="5" t="s">
        <v>143</v>
      </c>
      <c r="B43" s="116" t="s">
        <v>46</v>
      </c>
      <c r="C43" s="123" t="s">
        <v>210</v>
      </c>
      <c r="D43" s="34" t="s">
        <v>56</v>
      </c>
      <c r="E43" s="13" t="s">
        <v>36</v>
      </c>
      <c r="F43" s="42">
        <v>43</v>
      </c>
      <c r="G43" s="281">
        <v>4012</v>
      </c>
      <c r="H43" s="281">
        <v>0</v>
      </c>
      <c r="I43" s="282">
        <v>4012</v>
      </c>
    </row>
    <row r="44" spans="1:9" s="5" customFormat="1" x14ac:dyDescent="0.2">
      <c r="A44" s="5" t="s">
        <v>143</v>
      </c>
      <c r="B44" s="116" t="s">
        <v>46</v>
      </c>
      <c r="C44" s="123" t="s">
        <v>210</v>
      </c>
      <c r="D44" s="34" t="s">
        <v>57</v>
      </c>
      <c r="E44" s="13" t="s">
        <v>37</v>
      </c>
      <c r="F44" s="42">
        <v>361</v>
      </c>
      <c r="G44" s="281">
        <v>2263</v>
      </c>
      <c r="H44" s="281">
        <v>0</v>
      </c>
      <c r="I44" s="282">
        <v>2263</v>
      </c>
    </row>
    <row r="45" spans="1:9" s="5" customFormat="1" x14ac:dyDescent="0.2">
      <c r="A45" s="5" t="s">
        <v>143</v>
      </c>
      <c r="B45" s="116" t="s">
        <v>46</v>
      </c>
      <c r="C45" s="123" t="s">
        <v>210</v>
      </c>
      <c r="D45" s="34" t="s">
        <v>49</v>
      </c>
      <c r="E45" s="13" t="s">
        <v>47</v>
      </c>
      <c r="F45" s="42">
        <v>373</v>
      </c>
      <c r="G45" s="281">
        <v>2166</v>
      </c>
      <c r="H45" s="281">
        <v>0</v>
      </c>
      <c r="I45" s="282">
        <v>2166</v>
      </c>
    </row>
    <row r="46" spans="1:9" s="5" customFormat="1" x14ac:dyDescent="0.2">
      <c r="A46" s="5" t="s">
        <v>143</v>
      </c>
      <c r="B46" s="116" t="s">
        <v>46</v>
      </c>
      <c r="C46" s="123" t="s">
        <v>210</v>
      </c>
      <c r="D46" s="124" t="s">
        <v>58</v>
      </c>
      <c r="E46" s="13" t="s">
        <v>38</v>
      </c>
      <c r="F46" s="42">
        <v>264</v>
      </c>
      <c r="G46" s="281">
        <v>43244</v>
      </c>
      <c r="H46" s="281">
        <v>0</v>
      </c>
      <c r="I46" s="282">
        <v>43244</v>
      </c>
    </row>
    <row r="47" spans="1:9" s="5" customFormat="1" x14ac:dyDescent="0.2">
      <c r="A47" s="5" t="s">
        <v>143</v>
      </c>
      <c r="B47" s="116" t="s">
        <v>46</v>
      </c>
      <c r="C47" s="123" t="s">
        <v>210</v>
      </c>
      <c r="D47" s="34" t="s">
        <v>59</v>
      </c>
      <c r="E47" s="13" t="s">
        <v>39</v>
      </c>
      <c r="F47" s="42">
        <v>127</v>
      </c>
      <c r="G47" s="281">
        <v>1193</v>
      </c>
      <c r="H47" s="281">
        <v>0</v>
      </c>
      <c r="I47" s="282">
        <v>1193</v>
      </c>
    </row>
    <row r="48" spans="1:9" s="5" customFormat="1" x14ac:dyDescent="0.2">
      <c r="A48" s="5" t="s">
        <v>143</v>
      </c>
      <c r="B48" s="116" t="s">
        <v>46</v>
      </c>
      <c r="C48" s="123" t="s">
        <v>210</v>
      </c>
      <c r="D48" s="34" t="s">
        <v>61</v>
      </c>
      <c r="E48" s="13" t="s">
        <v>41</v>
      </c>
      <c r="F48" s="42">
        <v>175</v>
      </c>
      <c r="G48" s="281">
        <v>5706002</v>
      </c>
      <c r="H48" s="281">
        <v>0</v>
      </c>
      <c r="I48" s="282">
        <v>5706002</v>
      </c>
    </row>
    <row r="49" spans="1:9" s="5" customFormat="1" x14ac:dyDescent="0.2">
      <c r="A49" s="5" t="s">
        <v>143</v>
      </c>
      <c r="B49" s="116" t="s">
        <v>46</v>
      </c>
      <c r="C49" s="123" t="s">
        <v>210</v>
      </c>
      <c r="D49" s="34" t="s">
        <v>62</v>
      </c>
      <c r="E49" s="13" t="s">
        <v>42</v>
      </c>
      <c r="F49" s="42">
        <v>372</v>
      </c>
      <c r="G49" s="281">
        <v>260690</v>
      </c>
      <c r="H49" s="281">
        <v>0</v>
      </c>
      <c r="I49" s="282">
        <v>260690</v>
      </c>
    </row>
    <row r="50" spans="1:9" s="5" customFormat="1" x14ac:dyDescent="0.2">
      <c r="A50" s="5" t="s">
        <v>143</v>
      </c>
      <c r="B50" s="116" t="s">
        <v>2</v>
      </c>
      <c r="C50" s="123" t="s">
        <v>210</v>
      </c>
      <c r="D50" s="34" t="s">
        <v>50</v>
      </c>
      <c r="E50" s="13" t="s">
        <v>30</v>
      </c>
      <c r="F50" s="42">
        <v>152</v>
      </c>
      <c r="G50" s="281">
        <v>126708</v>
      </c>
      <c r="H50" s="281">
        <v>0</v>
      </c>
      <c r="I50" s="282">
        <v>126708</v>
      </c>
    </row>
    <row r="51" spans="1:9" s="5" customFormat="1" x14ac:dyDescent="0.2">
      <c r="A51" s="5" t="s">
        <v>143</v>
      </c>
      <c r="B51" s="116" t="s">
        <v>2</v>
      </c>
      <c r="C51" s="123" t="s">
        <v>210</v>
      </c>
      <c r="D51" s="34" t="s">
        <v>51</v>
      </c>
      <c r="E51" s="13" t="s">
        <v>31</v>
      </c>
      <c r="F51" s="42">
        <v>262</v>
      </c>
      <c r="G51" s="281">
        <v>1046</v>
      </c>
      <c r="H51" s="281">
        <v>0</v>
      </c>
      <c r="I51" s="282">
        <v>1046</v>
      </c>
    </row>
    <row r="52" spans="1:9" s="5" customFormat="1" x14ac:dyDescent="0.2">
      <c r="A52" s="5" t="s">
        <v>143</v>
      </c>
      <c r="B52" s="116" t="s">
        <v>2</v>
      </c>
      <c r="C52" s="123" t="s">
        <v>210</v>
      </c>
      <c r="D52" s="34" t="s">
        <v>52</v>
      </c>
      <c r="E52" s="13" t="s">
        <v>32</v>
      </c>
      <c r="F52" s="42">
        <v>167</v>
      </c>
      <c r="G52" s="281">
        <v>142095</v>
      </c>
      <c r="H52" s="281">
        <v>0</v>
      </c>
      <c r="I52" s="282">
        <v>142095</v>
      </c>
    </row>
    <row r="53" spans="1:9" s="5" customFormat="1" x14ac:dyDescent="0.2">
      <c r="A53" s="5" t="s">
        <v>143</v>
      </c>
      <c r="B53" s="116" t="s">
        <v>2</v>
      </c>
      <c r="C53" s="123" t="s">
        <v>210</v>
      </c>
      <c r="D53" s="34" t="s">
        <v>53</v>
      </c>
      <c r="E53" s="13" t="s">
        <v>33</v>
      </c>
      <c r="F53" s="42">
        <v>274</v>
      </c>
      <c r="G53" s="281">
        <v>195294</v>
      </c>
      <c r="H53" s="281">
        <v>0</v>
      </c>
      <c r="I53" s="282">
        <v>195294</v>
      </c>
    </row>
    <row r="54" spans="1:9" s="5" customFormat="1" x14ac:dyDescent="0.2">
      <c r="A54" s="5" t="s">
        <v>143</v>
      </c>
      <c r="B54" s="116" t="s">
        <v>2</v>
      </c>
      <c r="C54" s="123" t="s">
        <v>210</v>
      </c>
      <c r="D54" s="34" t="s">
        <v>54</v>
      </c>
      <c r="E54" s="13" t="s">
        <v>34</v>
      </c>
      <c r="F54" s="42">
        <v>371</v>
      </c>
      <c r="G54" s="281">
        <v>2533</v>
      </c>
      <c r="H54" s="281">
        <v>0</v>
      </c>
      <c r="I54" s="282">
        <v>2533</v>
      </c>
    </row>
    <row r="55" spans="1:9" s="5" customFormat="1" x14ac:dyDescent="0.2">
      <c r="A55" s="5" t="s">
        <v>143</v>
      </c>
      <c r="B55" s="116" t="s">
        <v>2</v>
      </c>
      <c r="C55" s="123" t="s">
        <v>210</v>
      </c>
      <c r="D55" s="124" t="s">
        <v>58</v>
      </c>
      <c r="E55" s="13" t="s">
        <v>38</v>
      </c>
      <c r="F55" s="42">
        <v>264</v>
      </c>
      <c r="G55" s="281">
        <v>161</v>
      </c>
      <c r="H55" s="281">
        <v>0</v>
      </c>
      <c r="I55" s="282">
        <v>161</v>
      </c>
    </row>
    <row r="56" spans="1:9" s="5" customFormat="1" x14ac:dyDescent="0.2">
      <c r="A56" s="5" t="s">
        <v>143</v>
      </c>
      <c r="B56" s="116" t="s">
        <v>2</v>
      </c>
      <c r="C56" s="123" t="s">
        <v>210</v>
      </c>
      <c r="D56" s="34" t="s">
        <v>61</v>
      </c>
      <c r="E56" s="13" t="s">
        <v>41</v>
      </c>
      <c r="F56" s="42">
        <v>175</v>
      </c>
      <c r="G56" s="281">
        <v>10187473</v>
      </c>
      <c r="H56" s="281">
        <v>0</v>
      </c>
      <c r="I56" s="282">
        <v>10187473</v>
      </c>
    </row>
    <row r="57" spans="1:9" s="5" customFormat="1" x14ac:dyDescent="0.2">
      <c r="A57" s="5" t="s">
        <v>143</v>
      </c>
      <c r="B57" s="116" t="s">
        <v>2</v>
      </c>
      <c r="C57" s="123" t="s">
        <v>210</v>
      </c>
      <c r="D57" s="34" t="s">
        <v>60</v>
      </c>
      <c r="E57" s="13" t="s">
        <v>40</v>
      </c>
      <c r="F57" s="42">
        <v>360</v>
      </c>
      <c r="G57" s="281">
        <v>2288</v>
      </c>
      <c r="H57" s="281">
        <v>0</v>
      </c>
      <c r="I57" s="282">
        <v>2288</v>
      </c>
    </row>
    <row r="58" spans="1:9" s="5" customFormat="1" x14ac:dyDescent="0.2">
      <c r="A58" s="5" t="s">
        <v>143</v>
      </c>
      <c r="B58" s="116" t="s">
        <v>2</v>
      </c>
      <c r="C58" s="123" t="s">
        <v>210</v>
      </c>
      <c r="D58" s="34" t="s">
        <v>62</v>
      </c>
      <c r="E58" s="13" t="s">
        <v>42</v>
      </c>
      <c r="F58" s="42">
        <v>372</v>
      </c>
      <c r="G58" s="281">
        <v>253832</v>
      </c>
      <c r="H58" s="281">
        <v>0</v>
      </c>
      <c r="I58" s="282">
        <v>253832</v>
      </c>
    </row>
    <row r="59" spans="1:9" s="5" customFormat="1" x14ac:dyDescent="0.2">
      <c r="A59" s="5" t="s">
        <v>143</v>
      </c>
      <c r="B59" s="116" t="s">
        <v>3</v>
      </c>
      <c r="C59" s="123" t="s">
        <v>210</v>
      </c>
      <c r="D59" s="34" t="s">
        <v>54</v>
      </c>
      <c r="E59" s="13" t="s">
        <v>34</v>
      </c>
      <c r="F59" s="42">
        <v>371</v>
      </c>
      <c r="G59" s="281">
        <v>158531</v>
      </c>
      <c r="H59" s="281">
        <v>0</v>
      </c>
      <c r="I59" s="282">
        <v>158531</v>
      </c>
    </row>
    <row r="60" spans="1:9" s="5" customFormat="1" x14ac:dyDescent="0.2">
      <c r="A60" s="5" t="s">
        <v>143</v>
      </c>
      <c r="B60" s="116" t="s">
        <v>3</v>
      </c>
      <c r="C60" s="123" t="s">
        <v>210</v>
      </c>
      <c r="D60" s="34" t="s">
        <v>62</v>
      </c>
      <c r="E60" s="13" t="s">
        <v>42</v>
      </c>
      <c r="F60" s="42">
        <v>372</v>
      </c>
      <c r="G60" s="281">
        <v>78427</v>
      </c>
      <c r="H60" s="281">
        <v>0</v>
      </c>
      <c r="I60" s="282">
        <v>78427</v>
      </c>
    </row>
    <row r="61" spans="1:9" s="5" customFormat="1" x14ac:dyDescent="0.2">
      <c r="A61" s="5" t="s">
        <v>143</v>
      </c>
      <c r="B61" s="116" t="s">
        <v>48</v>
      </c>
      <c r="C61" s="123" t="s">
        <v>210</v>
      </c>
      <c r="D61" s="34" t="s">
        <v>62</v>
      </c>
      <c r="E61" s="13" t="s">
        <v>42</v>
      </c>
      <c r="F61" s="42">
        <v>372</v>
      </c>
      <c r="G61" s="281">
        <v>64743</v>
      </c>
      <c r="H61" s="281">
        <v>0</v>
      </c>
      <c r="I61" s="282">
        <v>64743</v>
      </c>
    </row>
    <row r="62" spans="1:9" s="5" customFormat="1" ht="15.75" x14ac:dyDescent="0.25">
      <c r="A62" s="112" t="s">
        <v>227</v>
      </c>
      <c r="B62" s="118" t="s">
        <v>140</v>
      </c>
      <c r="C62" s="118" t="s">
        <v>140</v>
      </c>
      <c r="D62" s="118" t="s">
        <v>140</v>
      </c>
      <c r="E62" s="118" t="s">
        <v>140</v>
      </c>
      <c r="F62" s="118" t="s">
        <v>140</v>
      </c>
      <c r="G62" s="250">
        <f>SUBTOTAL(109,localannualclaim20[Program Payments and Offsets])</f>
        <v>17592970</v>
      </c>
      <c r="H62" s="250">
        <f>SUBTOTAL(109,localannualclaim20[Interest
Payments and Offsets])</f>
        <v>0</v>
      </c>
      <c r="I62" s="250">
        <f>SUBTOTAL(109,localannualclaim20[Total 
Payments])</f>
        <v>17592970</v>
      </c>
    </row>
    <row r="63" spans="1:9" s="5" customFormat="1" ht="15.75" x14ac:dyDescent="0.25">
      <c r="A63" s="119" t="s">
        <v>141</v>
      </c>
      <c r="B63" s="89"/>
      <c r="C63" s="89"/>
      <c r="D63" s="120"/>
      <c r="E63" s="120"/>
      <c r="F63" s="89"/>
      <c r="G63" s="26"/>
      <c r="H63" s="26"/>
      <c r="I63" s="26"/>
    </row>
    <row r="64" spans="1:9" s="5" customFormat="1" ht="47.25" x14ac:dyDescent="0.25">
      <c r="A64" s="314" t="s">
        <v>144</v>
      </c>
      <c r="B64" s="315" t="s">
        <v>145</v>
      </c>
      <c r="C64" s="314" t="s">
        <v>146</v>
      </c>
      <c r="D64" s="315" t="s">
        <v>147</v>
      </c>
      <c r="E64" s="315" t="s">
        <v>148</v>
      </c>
      <c r="F64" s="315" t="s">
        <v>139</v>
      </c>
      <c r="G64" s="316" t="s">
        <v>126</v>
      </c>
      <c r="H64" s="315" t="s">
        <v>127</v>
      </c>
      <c r="I64" s="316" t="s">
        <v>149</v>
      </c>
    </row>
    <row r="65" spans="1:9" s="5" customFormat="1" x14ac:dyDescent="0.2">
      <c r="A65" s="305" t="s">
        <v>143</v>
      </c>
      <c r="B65" s="306" t="s">
        <v>46</v>
      </c>
      <c r="C65" s="306" t="s">
        <v>211</v>
      </c>
      <c r="D65" s="305" t="s">
        <v>61</v>
      </c>
      <c r="E65" s="307" t="s">
        <v>41</v>
      </c>
      <c r="F65" s="306">
        <v>175</v>
      </c>
      <c r="G65" s="308">
        <v>4908272</v>
      </c>
      <c r="H65" s="308">
        <v>0</v>
      </c>
      <c r="I65" s="308">
        <v>4908272</v>
      </c>
    </row>
    <row r="66" spans="1:9" s="5" customFormat="1" x14ac:dyDescent="0.2">
      <c r="A66" s="309" t="s">
        <v>655</v>
      </c>
      <c r="B66" s="310" t="s">
        <v>140</v>
      </c>
      <c r="C66" s="310" t="s">
        <v>140</v>
      </c>
      <c r="D66" s="311" t="s">
        <v>140</v>
      </c>
      <c r="E66" s="312" t="s">
        <v>140</v>
      </c>
      <c r="F66" s="310" t="s">
        <v>140</v>
      </c>
      <c r="G66" s="313">
        <f>SUBTOTAL(109,Table126[Program Payments and Offsets])</f>
        <v>4908272</v>
      </c>
      <c r="H66" s="313">
        <f>SUBTOTAL(109,Table126[Interest
Payments and Offsets])</f>
        <v>0</v>
      </c>
      <c r="I66" s="313">
        <f>SUBTOTAL(109,Table126[Total 
Payments])</f>
        <v>4908272</v>
      </c>
    </row>
    <row r="67" spans="1:9" s="5" customFormat="1" ht="15.75" x14ac:dyDescent="0.25">
      <c r="A67" s="304" t="s">
        <v>141</v>
      </c>
      <c r="B67" s="89"/>
      <c r="C67" s="89"/>
      <c r="D67" s="120"/>
      <c r="E67" s="120"/>
      <c r="F67" s="89"/>
      <c r="G67" s="26"/>
      <c r="H67" s="26"/>
      <c r="I67" s="26"/>
    </row>
    <row r="68" spans="1:9" s="5" customFormat="1" ht="47.25" x14ac:dyDescent="0.25">
      <c r="A68" s="319" t="s">
        <v>144</v>
      </c>
      <c r="B68" s="320" t="s">
        <v>145</v>
      </c>
      <c r="C68" s="319" t="s">
        <v>146</v>
      </c>
      <c r="D68" s="320" t="s">
        <v>147</v>
      </c>
      <c r="E68" s="320" t="s">
        <v>148</v>
      </c>
      <c r="F68" s="320" t="s">
        <v>139</v>
      </c>
      <c r="G68" s="321" t="s">
        <v>126</v>
      </c>
      <c r="H68" s="320" t="s">
        <v>127</v>
      </c>
      <c r="I68" s="321" t="s">
        <v>149</v>
      </c>
    </row>
    <row r="69" spans="1:9" s="5" customFormat="1" x14ac:dyDescent="0.2">
      <c r="A69" s="322" t="s">
        <v>143</v>
      </c>
      <c r="B69" s="317" t="s">
        <v>2</v>
      </c>
      <c r="C69" s="317" t="s">
        <v>109</v>
      </c>
      <c r="D69" s="323" t="s">
        <v>62</v>
      </c>
      <c r="E69" s="324" t="s">
        <v>42</v>
      </c>
      <c r="F69" s="317">
        <v>372</v>
      </c>
      <c r="G69" s="325">
        <v>271241</v>
      </c>
      <c r="H69" s="325">
        <v>0</v>
      </c>
      <c r="I69" s="325">
        <v>271241</v>
      </c>
    </row>
    <row r="70" spans="1:9" s="5" customFormat="1" x14ac:dyDescent="0.2">
      <c r="A70" s="326" t="s">
        <v>656</v>
      </c>
      <c r="B70" s="318" t="s">
        <v>140</v>
      </c>
      <c r="C70" s="318" t="s">
        <v>140</v>
      </c>
      <c r="D70" s="318" t="s">
        <v>140</v>
      </c>
      <c r="E70" s="318" t="s">
        <v>140</v>
      </c>
      <c r="F70" s="318" t="s">
        <v>140</v>
      </c>
      <c r="G70" s="327">
        <f>SUBTOTAL(109,Table127[Program Payments and Offsets])</f>
        <v>271241</v>
      </c>
      <c r="H70" s="327">
        <f>SUBTOTAL(109,Table127[Interest
Payments and Offsets])</f>
        <v>0</v>
      </c>
      <c r="I70" s="327">
        <f>SUBTOTAL(109,Table127[Total 
Payments])</f>
        <v>271241</v>
      </c>
    </row>
    <row r="71" spans="1:9" s="5" customFormat="1" ht="15.75" x14ac:dyDescent="0.25">
      <c r="A71" s="304" t="s">
        <v>141</v>
      </c>
      <c r="B71" s="89"/>
      <c r="C71" s="89"/>
      <c r="D71" s="120"/>
      <c r="E71" s="120"/>
      <c r="F71" s="89"/>
      <c r="G71" s="26"/>
      <c r="H71" s="26"/>
      <c r="I71" s="26"/>
    </row>
    <row r="72" spans="1:9" s="5" customFormat="1" ht="47.25" x14ac:dyDescent="0.25">
      <c r="A72" s="10" t="s">
        <v>144</v>
      </c>
      <c r="B72" s="121" t="s">
        <v>145</v>
      </c>
      <c r="C72" s="10" t="s">
        <v>146</v>
      </c>
      <c r="D72" s="121" t="s">
        <v>147</v>
      </c>
      <c r="E72" s="121" t="s">
        <v>148</v>
      </c>
      <c r="F72" s="121" t="s">
        <v>139</v>
      </c>
      <c r="G72" s="23" t="s">
        <v>126</v>
      </c>
      <c r="H72" s="121" t="s">
        <v>127</v>
      </c>
      <c r="I72" s="122" t="s">
        <v>149</v>
      </c>
    </row>
    <row r="73" spans="1:9" s="5" customFormat="1" x14ac:dyDescent="0.2">
      <c r="A73" s="5" t="s">
        <v>150</v>
      </c>
      <c r="B73" s="83" t="s">
        <v>217</v>
      </c>
      <c r="C73" s="83" t="s">
        <v>215</v>
      </c>
      <c r="D73" s="124" t="s">
        <v>64</v>
      </c>
      <c r="E73" s="42" t="s">
        <v>44</v>
      </c>
      <c r="F73" s="83">
        <v>246</v>
      </c>
      <c r="G73" s="280">
        <v>1808996</v>
      </c>
      <c r="H73" s="280">
        <v>0</v>
      </c>
      <c r="I73" s="259">
        <v>1808996</v>
      </c>
    </row>
    <row r="74" spans="1:9" s="5" customFormat="1" ht="15.75" x14ac:dyDescent="0.25">
      <c r="A74" s="345" t="s">
        <v>228</v>
      </c>
      <c r="B74" s="200" t="s">
        <v>140</v>
      </c>
      <c r="C74" s="200" t="s">
        <v>140</v>
      </c>
      <c r="D74" s="200" t="s">
        <v>140</v>
      </c>
      <c r="E74" s="200" t="s">
        <v>140</v>
      </c>
      <c r="F74" s="200" t="s">
        <v>140</v>
      </c>
      <c r="G74" s="293">
        <f>SUBTOTAL(109,localmotor22[Program Payments and Offsets])</f>
        <v>1808996</v>
      </c>
      <c r="H74" s="293">
        <f>SUBTOTAL(109,localmotor22[Interest
Payments and Offsets])</f>
        <v>0</v>
      </c>
      <c r="I74" s="293">
        <f>SUBTOTAL(109,localmotor22[Total 
Payments])</f>
        <v>1808996</v>
      </c>
    </row>
    <row r="75" spans="1:9" s="5" customFormat="1" ht="15.75" x14ac:dyDescent="0.25">
      <c r="A75" s="119" t="s">
        <v>141</v>
      </c>
      <c r="B75" s="89"/>
      <c r="C75" s="89"/>
      <c r="D75" s="120"/>
      <c r="E75" s="120"/>
      <c r="F75" s="89"/>
      <c r="G75" s="26"/>
      <c r="H75" s="26"/>
      <c r="I75" s="26"/>
    </row>
    <row r="76" spans="1:9" s="5" customFormat="1" ht="47.25" x14ac:dyDescent="0.25">
      <c r="A76" s="12" t="s">
        <v>144</v>
      </c>
      <c r="B76" s="125" t="s">
        <v>145</v>
      </c>
      <c r="C76" s="12" t="s">
        <v>146</v>
      </c>
      <c r="D76" s="125" t="s">
        <v>147</v>
      </c>
      <c r="E76" s="125" t="s">
        <v>148</v>
      </c>
      <c r="F76" s="125" t="s">
        <v>139</v>
      </c>
      <c r="G76" s="28" t="s">
        <v>126</v>
      </c>
      <c r="H76" s="125" t="s">
        <v>127</v>
      </c>
      <c r="I76" s="28" t="s">
        <v>149</v>
      </c>
    </row>
    <row r="77" spans="1:9" s="5" customFormat="1" x14ac:dyDescent="0.2">
      <c r="A77" s="5" t="s">
        <v>151</v>
      </c>
      <c r="B77" s="83" t="s">
        <v>96</v>
      </c>
      <c r="C77" s="83" t="s">
        <v>216</v>
      </c>
      <c r="D77" s="124" t="s">
        <v>65</v>
      </c>
      <c r="E77" s="42" t="s">
        <v>45</v>
      </c>
      <c r="F77" s="83">
        <v>121</v>
      </c>
      <c r="G77" s="280">
        <v>53087</v>
      </c>
      <c r="H77" s="280">
        <v>0</v>
      </c>
      <c r="I77" s="259">
        <v>53087</v>
      </c>
    </row>
    <row r="78" spans="1:9" s="5" customFormat="1" x14ac:dyDescent="0.2">
      <c r="A78" s="5" t="s">
        <v>151</v>
      </c>
      <c r="B78" s="83" t="s">
        <v>96</v>
      </c>
      <c r="C78" s="83" t="s">
        <v>216</v>
      </c>
      <c r="D78" s="124" t="s">
        <v>65</v>
      </c>
      <c r="E78" s="42" t="s">
        <v>45</v>
      </c>
      <c r="F78" s="83">
        <v>121</v>
      </c>
      <c r="G78" s="280">
        <v>8203</v>
      </c>
      <c r="H78" s="280">
        <v>0</v>
      </c>
      <c r="I78" s="259">
        <v>8203</v>
      </c>
    </row>
    <row r="79" spans="1:9" s="5" customFormat="1" x14ac:dyDescent="0.2">
      <c r="A79" s="5" t="s">
        <v>151</v>
      </c>
      <c r="B79" s="83" t="s">
        <v>96</v>
      </c>
      <c r="C79" s="83" t="s">
        <v>216</v>
      </c>
      <c r="D79" s="124" t="s">
        <v>65</v>
      </c>
      <c r="E79" s="42" t="s">
        <v>45</v>
      </c>
      <c r="F79" s="83">
        <v>121</v>
      </c>
      <c r="G79" s="280">
        <v>18987</v>
      </c>
      <c r="H79" s="280">
        <v>0</v>
      </c>
      <c r="I79" s="259">
        <v>18987</v>
      </c>
    </row>
    <row r="80" spans="1:9" s="5" customFormat="1" x14ac:dyDescent="0.2">
      <c r="A80" s="5" t="s">
        <v>151</v>
      </c>
      <c r="B80" s="83" t="s">
        <v>96</v>
      </c>
      <c r="C80" s="83" t="s">
        <v>216</v>
      </c>
      <c r="D80" s="124" t="s">
        <v>65</v>
      </c>
      <c r="E80" s="42" t="s">
        <v>45</v>
      </c>
      <c r="F80" s="83">
        <v>121</v>
      </c>
      <c r="G80" s="280">
        <v>18723</v>
      </c>
      <c r="H80" s="280">
        <v>0</v>
      </c>
      <c r="I80" s="259">
        <v>18723</v>
      </c>
    </row>
    <row r="81" spans="1:9" s="5" customFormat="1" ht="15.75" x14ac:dyDescent="0.25">
      <c r="A81" s="345" t="s">
        <v>229</v>
      </c>
      <c r="B81" s="200" t="s">
        <v>140</v>
      </c>
      <c r="C81" s="200" t="s">
        <v>140</v>
      </c>
      <c r="D81" s="200" t="s">
        <v>140</v>
      </c>
      <c r="E81" s="200" t="s">
        <v>140</v>
      </c>
      <c r="F81" s="200" t="s">
        <v>140</v>
      </c>
      <c r="G81" s="293">
        <f>SUBTOTAL(109,localpest22[Program Payments and Offsets])</f>
        <v>99000</v>
      </c>
      <c r="H81" s="293">
        <f>SUBTOTAL(109,localpest22[Interest
Payments and Offsets])</f>
        <v>0</v>
      </c>
      <c r="I81" s="293">
        <f>SUBTOTAL(109,localpest22[Total 
Payments])</f>
        <v>99000</v>
      </c>
    </row>
    <row r="82" spans="1:9" s="5" customFormat="1" ht="15.75" x14ac:dyDescent="0.25">
      <c r="A82" s="119" t="s">
        <v>141</v>
      </c>
      <c r="B82" s="89"/>
      <c r="C82" s="89"/>
      <c r="D82" s="120"/>
      <c r="E82" s="120"/>
      <c r="F82" s="89"/>
      <c r="G82" s="26"/>
      <c r="H82" s="26"/>
      <c r="I82" s="26"/>
    </row>
    <row r="83" spans="1:9" s="5" customFormat="1" ht="47.25" x14ac:dyDescent="0.25">
      <c r="A83" s="10" t="s">
        <v>144</v>
      </c>
      <c r="B83" s="121" t="s">
        <v>145</v>
      </c>
      <c r="C83" s="10" t="s">
        <v>146</v>
      </c>
      <c r="D83" s="121" t="s">
        <v>147</v>
      </c>
      <c r="E83" s="121" t="s">
        <v>148</v>
      </c>
      <c r="F83" s="121" t="s">
        <v>139</v>
      </c>
      <c r="G83" s="23" t="s">
        <v>126</v>
      </c>
      <c r="H83" s="121" t="s">
        <v>127</v>
      </c>
      <c r="I83" s="23" t="s">
        <v>149</v>
      </c>
    </row>
    <row r="84" spans="1:9" s="5" customFormat="1" ht="15.75" x14ac:dyDescent="0.25">
      <c r="A84" s="5" t="s">
        <v>143</v>
      </c>
      <c r="B84" s="86" t="s">
        <v>140</v>
      </c>
      <c r="C84" s="83" t="s">
        <v>209</v>
      </c>
      <c r="D84" s="86" t="s">
        <v>140</v>
      </c>
      <c r="E84" s="86" t="s">
        <v>140</v>
      </c>
      <c r="F84" s="86" t="s">
        <v>140</v>
      </c>
      <c r="G84" s="274">
        <v>123954369</v>
      </c>
      <c r="H84" s="274">
        <v>0</v>
      </c>
      <c r="I84" s="274">
        <v>123954369</v>
      </c>
    </row>
    <row r="85" spans="1:9" s="5" customFormat="1" ht="15.75" x14ac:dyDescent="0.25">
      <c r="A85" s="5" t="s">
        <v>143</v>
      </c>
      <c r="B85" s="86" t="s">
        <v>140</v>
      </c>
      <c r="C85" s="123" t="s">
        <v>210</v>
      </c>
      <c r="D85" s="86" t="s">
        <v>140</v>
      </c>
      <c r="E85" s="86" t="s">
        <v>140</v>
      </c>
      <c r="F85" s="86" t="s">
        <v>140</v>
      </c>
      <c r="G85" s="243">
        <v>17592970</v>
      </c>
      <c r="H85" s="243">
        <v>0</v>
      </c>
      <c r="I85" s="243">
        <v>17592970</v>
      </c>
    </row>
    <row r="86" spans="1:9" s="5" customFormat="1" ht="15.75" x14ac:dyDescent="0.25">
      <c r="A86" s="5" t="s">
        <v>143</v>
      </c>
      <c r="B86" s="86" t="s">
        <v>140</v>
      </c>
      <c r="C86" s="83" t="s">
        <v>211</v>
      </c>
      <c r="D86" s="86" t="s">
        <v>140</v>
      </c>
      <c r="E86" s="86" t="s">
        <v>140</v>
      </c>
      <c r="F86" s="86" t="s">
        <v>140</v>
      </c>
      <c r="G86" s="243">
        <v>4908272</v>
      </c>
      <c r="H86" s="243">
        <v>0</v>
      </c>
      <c r="I86" s="243">
        <v>4908272</v>
      </c>
    </row>
    <row r="87" spans="1:9" s="5" customFormat="1" ht="15.75" x14ac:dyDescent="0.25">
      <c r="A87" s="5" t="s">
        <v>143</v>
      </c>
      <c r="B87" s="86" t="s">
        <v>140</v>
      </c>
      <c r="C87" s="83" t="s">
        <v>109</v>
      </c>
      <c r="D87" s="86" t="s">
        <v>140</v>
      </c>
      <c r="E87" s="86" t="s">
        <v>140</v>
      </c>
      <c r="F87" s="86" t="s">
        <v>140</v>
      </c>
      <c r="G87" s="243">
        <v>272241</v>
      </c>
      <c r="H87" s="243">
        <v>0</v>
      </c>
      <c r="I87" s="243">
        <v>271241</v>
      </c>
    </row>
    <row r="88" spans="1:9" s="5" customFormat="1" ht="15.75" x14ac:dyDescent="0.25">
      <c r="A88" s="5" t="s">
        <v>150</v>
      </c>
      <c r="B88" s="86" t="s">
        <v>140</v>
      </c>
      <c r="C88" s="83" t="s">
        <v>215</v>
      </c>
      <c r="D88" s="86" t="s">
        <v>140</v>
      </c>
      <c r="E88" s="86" t="s">
        <v>140</v>
      </c>
      <c r="F88" s="86" t="s">
        <v>140</v>
      </c>
      <c r="G88" s="243">
        <v>1808996</v>
      </c>
      <c r="H88" s="243">
        <v>0</v>
      </c>
      <c r="I88" s="243">
        <v>1808996</v>
      </c>
    </row>
    <row r="89" spans="1:9" ht="15.75" x14ac:dyDescent="0.25">
      <c r="A89" s="5" t="s">
        <v>151</v>
      </c>
      <c r="B89" s="86" t="s">
        <v>140</v>
      </c>
      <c r="C89" s="83" t="s">
        <v>216</v>
      </c>
      <c r="D89" s="86" t="s">
        <v>140</v>
      </c>
      <c r="E89" s="86" t="s">
        <v>140</v>
      </c>
      <c r="F89" s="86" t="s">
        <v>140</v>
      </c>
      <c r="G89" s="243">
        <v>99000</v>
      </c>
      <c r="H89" s="243">
        <v>0</v>
      </c>
      <c r="I89" s="243">
        <v>99000</v>
      </c>
    </row>
    <row r="90" spans="1:9" ht="15.75" x14ac:dyDescent="0.25">
      <c r="A90" s="72" t="s">
        <v>152</v>
      </c>
      <c r="B90" s="87" t="s">
        <v>140</v>
      </c>
      <c r="C90" s="87" t="s">
        <v>140</v>
      </c>
      <c r="D90" s="87" t="s">
        <v>140</v>
      </c>
      <c r="E90" s="87" t="s">
        <v>140</v>
      </c>
      <c r="F90" s="87" t="s">
        <v>140</v>
      </c>
      <c r="G90" s="244">
        <f>SUBTOTAL(109,localgrandtotala1[Program Payments and Offsets])</f>
        <v>148635848</v>
      </c>
      <c r="H90" s="244">
        <f>SUBTOTAL(109,localgrandtotala1[Interest
Payments and Offsets])</f>
        <v>0</v>
      </c>
      <c r="I90" s="244">
        <f>SUBTOTAL(109,localgrandtotala1[Total 
Payments])</f>
        <v>148634848</v>
      </c>
    </row>
  </sheetData>
  <printOptions horizontalCentered="1" gridLines="1"/>
  <pageMargins left="0.3" right="0.3" top="0.75" bottom="0.75" header="0.3" footer="0.3"/>
  <pageSetup scale="55" fitToHeight="0" orientation="landscape" r:id="rId1"/>
  <headerFooter>
    <oddFooter>&amp;LSchedule A1: Detail of State-Mandated Program Payments by Fiscal Year
Local Agencies&amp;RPage &amp;P of &amp;N</oddFooter>
  </headerFooter>
  <tableParts count="7">
    <tablePart r:id="rId2"/>
    <tablePart r:id="rId3"/>
    <tablePart r:id="rId4"/>
    <tablePart r:id="rId5"/>
    <tablePart r:id="rId6"/>
    <tablePart r:id="rId7"/>
    <tablePart r:id="rId8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34"/>
  <sheetViews>
    <sheetView topLeftCell="A16" zoomScaleNormal="100" zoomScalePageLayoutView="90" workbookViewId="0">
      <selection activeCell="A32" sqref="A32"/>
    </sheetView>
  </sheetViews>
  <sheetFormatPr defaultRowHeight="15" x14ac:dyDescent="0.2"/>
  <cols>
    <col min="1" max="1" width="57.85546875" style="2" customWidth="1"/>
    <col min="2" max="2" width="11.7109375" style="1" customWidth="1"/>
    <col min="3" max="3" width="25" style="1" customWidth="1"/>
    <col min="4" max="4" width="90" style="2" customWidth="1"/>
    <col min="5" max="5" width="15.28515625" style="2" customWidth="1"/>
    <col min="6" max="6" width="15.140625" style="1" customWidth="1"/>
    <col min="7" max="7" width="18.7109375" style="2" bestFit="1" customWidth="1"/>
    <col min="8" max="8" width="15.140625" style="2" customWidth="1"/>
    <col min="9" max="9" width="18.7109375" style="2" bestFit="1" customWidth="1"/>
    <col min="10" max="16384" width="9.140625" style="2"/>
  </cols>
  <sheetData>
    <row r="1" spans="1:9" ht="54" x14ac:dyDescent="0.25">
      <c r="A1" s="3" t="s">
        <v>223</v>
      </c>
      <c r="B1" s="19"/>
      <c r="C1" s="19"/>
      <c r="D1" s="20"/>
      <c r="E1" s="20"/>
      <c r="F1" s="20"/>
      <c r="G1" s="20"/>
      <c r="H1" s="20"/>
      <c r="I1" s="20"/>
    </row>
    <row r="2" spans="1:9" ht="50.1" customHeight="1" x14ac:dyDescent="0.25">
      <c r="A2" s="11" t="s">
        <v>144</v>
      </c>
      <c r="B2" s="11" t="s">
        <v>5</v>
      </c>
      <c r="C2" s="11" t="s">
        <v>146</v>
      </c>
      <c r="D2" s="11" t="s">
        <v>6</v>
      </c>
      <c r="E2" s="11" t="s">
        <v>0</v>
      </c>
      <c r="F2" s="11" t="s">
        <v>125</v>
      </c>
      <c r="G2" s="11" t="s">
        <v>154</v>
      </c>
      <c r="H2" s="11" t="s">
        <v>127</v>
      </c>
      <c r="I2" s="30" t="s">
        <v>128</v>
      </c>
    </row>
    <row r="3" spans="1:9" x14ac:dyDescent="0.2">
      <c r="A3" s="2" t="s">
        <v>153</v>
      </c>
      <c r="B3" s="1" t="s">
        <v>217</v>
      </c>
      <c r="C3" s="1" t="s">
        <v>219</v>
      </c>
      <c r="D3" s="2" t="s">
        <v>66</v>
      </c>
      <c r="E3" s="2" t="s">
        <v>7</v>
      </c>
      <c r="F3" s="1">
        <v>250</v>
      </c>
      <c r="G3" s="278">
        <v>1000</v>
      </c>
      <c r="H3" s="278">
        <v>0</v>
      </c>
      <c r="I3" s="287">
        <v>1000</v>
      </c>
    </row>
    <row r="4" spans="1:9" x14ac:dyDescent="0.2">
      <c r="A4" s="2" t="s">
        <v>153</v>
      </c>
      <c r="B4" s="1" t="s">
        <v>217</v>
      </c>
      <c r="C4" s="1" t="s">
        <v>219</v>
      </c>
      <c r="D4" s="126" t="s">
        <v>68</v>
      </c>
      <c r="E4" s="2" t="s">
        <v>9</v>
      </c>
      <c r="F4" s="1">
        <v>369</v>
      </c>
      <c r="G4" s="278">
        <v>1000</v>
      </c>
      <c r="H4" s="278">
        <v>0</v>
      </c>
      <c r="I4" s="287">
        <v>1000</v>
      </c>
    </row>
    <row r="5" spans="1:9" ht="15" customHeight="1" x14ac:dyDescent="0.2">
      <c r="A5" s="2" t="s">
        <v>153</v>
      </c>
      <c r="B5" s="1" t="s">
        <v>217</v>
      </c>
      <c r="C5" s="1" t="s">
        <v>219</v>
      </c>
      <c r="D5" s="2" t="s">
        <v>69</v>
      </c>
      <c r="E5" s="2" t="s">
        <v>10</v>
      </c>
      <c r="F5" s="1">
        <v>172</v>
      </c>
      <c r="G5" s="278">
        <v>1000</v>
      </c>
      <c r="H5" s="278">
        <v>0</v>
      </c>
      <c r="I5" s="287">
        <v>1000</v>
      </c>
    </row>
    <row r="6" spans="1:9" x14ac:dyDescent="0.2">
      <c r="A6" s="2" t="s">
        <v>153</v>
      </c>
      <c r="B6" s="1" t="s">
        <v>217</v>
      </c>
      <c r="C6" s="1" t="s">
        <v>219</v>
      </c>
      <c r="D6" s="126" t="s">
        <v>72</v>
      </c>
      <c r="E6" s="2" t="s">
        <v>13</v>
      </c>
      <c r="F6" s="1">
        <v>11</v>
      </c>
      <c r="G6" s="278">
        <v>1000</v>
      </c>
      <c r="H6" s="278">
        <v>0</v>
      </c>
      <c r="I6" s="287">
        <v>1000</v>
      </c>
    </row>
    <row r="7" spans="1:9" x14ac:dyDescent="0.2">
      <c r="A7" s="2" t="s">
        <v>153</v>
      </c>
      <c r="B7" s="1" t="s">
        <v>217</v>
      </c>
      <c r="C7" s="1" t="s">
        <v>219</v>
      </c>
      <c r="D7" s="2" t="s">
        <v>73</v>
      </c>
      <c r="E7" s="2" t="s">
        <v>14</v>
      </c>
      <c r="F7" s="1">
        <v>313</v>
      </c>
      <c r="G7" s="278">
        <v>1000</v>
      </c>
      <c r="H7" s="278">
        <v>0</v>
      </c>
      <c r="I7" s="287">
        <v>1000</v>
      </c>
    </row>
    <row r="8" spans="1:9" x14ac:dyDescent="0.2">
      <c r="A8" s="2" t="s">
        <v>153</v>
      </c>
      <c r="B8" s="1" t="s">
        <v>217</v>
      </c>
      <c r="C8" s="1" t="s">
        <v>219</v>
      </c>
      <c r="D8" s="2" t="s">
        <v>70</v>
      </c>
      <c r="E8" s="2" t="s">
        <v>11</v>
      </c>
      <c r="F8" s="1">
        <v>330</v>
      </c>
      <c r="G8" s="278">
        <v>1000</v>
      </c>
      <c r="H8" s="278">
        <v>0</v>
      </c>
      <c r="I8" s="287">
        <v>1000</v>
      </c>
    </row>
    <row r="9" spans="1:9" ht="30" x14ac:dyDescent="0.2">
      <c r="A9" s="2" t="s">
        <v>153</v>
      </c>
      <c r="B9" s="1" t="s">
        <v>217</v>
      </c>
      <c r="C9" s="1" t="s">
        <v>219</v>
      </c>
      <c r="D9" s="126" t="s">
        <v>67</v>
      </c>
      <c r="E9" s="2" t="s">
        <v>8</v>
      </c>
      <c r="F9" s="1">
        <v>272</v>
      </c>
      <c r="G9" s="278">
        <v>1000</v>
      </c>
      <c r="H9" s="278">
        <v>0</v>
      </c>
      <c r="I9" s="287">
        <v>1000</v>
      </c>
    </row>
    <row r="10" spans="1:9" ht="30" x14ac:dyDescent="0.2">
      <c r="A10" s="2" t="s">
        <v>153</v>
      </c>
      <c r="B10" s="1" t="s">
        <v>217</v>
      </c>
      <c r="C10" s="1" t="s">
        <v>219</v>
      </c>
      <c r="D10" s="126" t="s">
        <v>82</v>
      </c>
      <c r="E10" s="2" t="s">
        <v>23</v>
      </c>
      <c r="F10" s="1">
        <v>276</v>
      </c>
      <c r="G10" s="278">
        <v>1000</v>
      </c>
      <c r="H10" s="278">
        <v>0</v>
      </c>
      <c r="I10" s="287">
        <v>1000</v>
      </c>
    </row>
    <row r="11" spans="1:9" x14ac:dyDescent="0.2">
      <c r="A11" s="2" t="s">
        <v>153</v>
      </c>
      <c r="B11" s="1" t="s">
        <v>217</v>
      </c>
      <c r="C11" s="1" t="s">
        <v>219</v>
      </c>
      <c r="D11" s="2" t="s">
        <v>71</v>
      </c>
      <c r="E11" s="2" t="s">
        <v>12</v>
      </c>
      <c r="F11" s="1">
        <v>209</v>
      </c>
      <c r="G11" s="278">
        <v>1000</v>
      </c>
      <c r="H11" s="278">
        <v>0</v>
      </c>
      <c r="I11" s="287">
        <v>1000</v>
      </c>
    </row>
    <row r="12" spans="1:9" x14ac:dyDescent="0.2">
      <c r="A12" s="2" t="s">
        <v>153</v>
      </c>
      <c r="B12" s="1" t="s">
        <v>217</v>
      </c>
      <c r="C12" s="1" t="s">
        <v>219</v>
      </c>
      <c r="D12" s="2" t="s">
        <v>74</v>
      </c>
      <c r="E12" s="2" t="s">
        <v>15</v>
      </c>
      <c r="F12" s="1">
        <v>183</v>
      </c>
      <c r="G12" s="278">
        <v>1000</v>
      </c>
      <c r="H12" s="278">
        <v>0</v>
      </c>
      <c r="I12" s="287">
        <v>1000</v>
      </c>
    </row>
    <row r="13" spans="1:9" x14ac:dyDescent="0.2">
      <c r="A13" s="2" t="s">
        <v>153</v>
      </c>
      <c r="B13" s="1" t="s">
        <v>217</v>
      </c>
      <c r="C13" s="1" t="s">
        <v>219</v>
      </c>
      <c r="D13" s="2" t="s">
        <v>75</v>
      </c>
      <c r="E13" s="2" t="s">
        <v>16</v>
      </c>
      <c r="F13" s="1">
        <v>192</v>
      </c>
      <c r="G13" s="278">
        <v>1000</v>
      </c>
      <c r="H13" s="278">
        <v>0</v>
      </c>
      <c r="I13" s="287">
        <v>1000</v>
      </c>
    </row>
    <row r="14" spans="1:9" x14ac:dyDescent="0.2">
      <c r="A14" s="2" t="s">
        <v>153</v>
      </c>
      <c r="B14" s="1" t="s">
        <v>217</v>
      </c>
      <c r="C14" s="1" t="s">
        <v>219</v>
      </c>
      <c r="D14" s="2" t="s">
        <v>76</v>
      </c>
      <c r="E14" s="2" t="s">
        <v>17</v>
      </c>
      <c r="F14" s="1">
        <v>297</v>
      </c>
      <c r="G14" s="278">
        <v>1000</v>
      </c>
      <c r="H14" s="278">
        <v>0</v>
      </c>
      <c r="I14" s="287">
        <v>1000</v>
      </c>
    </row>
    <row r="15" spans="1:9" x14ac:dyDescent="0.2">
      <c r="A15" s="2" t="s">
        <v>153</v>
      </c>
      <c r="B15" s="1" t="s">
        <v>217</v>
      </c>
      <c r="C15" s="1" t="s">
        <v>219</v>
      </c>
      <c r="D15" s="2" t="s">
        <v>77</v>
      </c>
      <c r="E15" s="2" t="s">
        <v>18</v>
      </c>
      <c r="F15" s="1">
        <v>166</v>
      </c>
      <c r="G15" s="278">
        <v>1000</v>
      </c>
      <c r="H15" s="278">
        <v>0</v>
      </c>
      <c r="I15" s="287">
        <v>1000</v>
      </c>
    </row>
    <row r="16" spans="1:9" x14ac:dyDescent="0.2">
      <c r="A16" s="2" t="s">
        <v>153</v>
      </c>
      <c r="B16" s="1" t="s">
        <v>217</v>
      </c>
      <c r="C16" s="1" t="s">
        <v>219</v>
      </c>
      <c r="D16" s="2" t="s">
        <v>80</v>
      </c>
      <c r="E16" s="2" t="s">
        <v>21</v>
      </c>
      <c r="F16" s="1">
        <v>32</v>
      </c>
      <c r="G16" s="278">
        <v>1000</v>
      </c>
      <c r="H16" s="278">
        <v>0</v>
      </c>
      <c r="I16" s="287">
        <v>1000</v>
      </c>
    </row>
    <row r="17" spans="1:9" x14ac:dyDescent="0.2">
      <c r="A17" s="2" t="s">
        <v>153</v>
      </c>
      <c r="B17" s="1" t="s">
        <v>217</v>
      </c>
      <c r="C17" s="1" t="s">
        <v>219</v>
      </c>
      <c r="D17" s="2" t="s">
        <v>78</v>
      </c>
      <c r="E17" s="2" t="s">
        <v>19</v>
      </c>
      <c r="F17" s="1">
        <v>368</v>
      </c>
      <c r="G17" s="278">
        <v>1000</v>
      </c>
      <c r="H17" s="278">
        <v>0</v>
      </c>
      <c r="I17" s="287">
        <v>1000</v>
      </c>
    </row>
    <row r="18" spans="1:9" x14ac:dyDescent="0.2">
      <c r="A18" s="2" t="s">
        <v>153</v>
      </c>
      <c r="B18" s="1" t="s">
        <v>217</v>
      </c>
      <c r="C18" s="1" t="s">
        <v>219</v>
      </c>
      <c r="D18" s="2" t="s">
        <v>79</v>
      </c>
      <c r="E18" s="2" t="s">
        <v>20</v>
      </c>
      <c r="F18" s="1">
        <v>357</v>
      </c>
      <c r="G18" s="278">
        <v>1000</v>
      </c>
      <c r="H18" s="278">
        <v>0</v>
      </c>
      <c r="I18" s="287">
        <v>1000</v>
      </c>
    </row>
    <row r="19" spans="1:9" x14ac:dyDescent="0.2">
      <c r="A19" s="2" t="s">
        <v>153</v>
      </c>
      <c r="B19" s="1" t="s">
        <v>217</v>
      </c>
      <c r="C19" s="1" t="s">
        <v>219</v>
      </c>
      <c r="D19" s="2" t="s">
        <v>81</v>
      </c>
      <c r="E19" s="2" t="s">
        <v>22</v>
      </c>
      <c r="F19" s="1">
        <v>153</v>
      </c>
      <c r="G19" s="278">
        <v>1000</v>
      </c>
      <c r="H19" s="278">
        <v>0</v>
      </c>
      <c r="I19" s="287">
        <v>1000</v>
      </c>
    </row>
    <row r="20" spans="1:9" x14ac:dyDescent="0.2">
      <c r="A20" s="2" t="s">
        <v>153</v>
      </c>
      <c r="B20" s="1" t="s">
        <v>217</v>
      </c>
      <c r="C20" s="1" t="s">
        <v>219</v>
      </c>
      <c r="D20" s="2" t="s">
        <v>83</v>
      </c>
      <c r="E20" s="2" t="s">
        <v>17</v>
      </c>
      <c r="F20" s="1">
        <v>48</v>
      </c>
      <c r="G20" s="278">
        <v>1000</v>
      </c>
      <c r="H20" s="278">
        <v>0</v>
      </c>
      <c r="I20" s="287">
        <v>1000</v>
      </c>
    </row>
    <row r="21" spans="1:9" x14ac:dyDescent="0.2">
      <c r="A21" s="2" t="s">
        <v>153</v>
      </c>
      <c r="B21" s="1" t="s">
        <v>217</v>
      </c>
      <c r="C21" s="1" t="s">
        <v>219</v>
      </c>
      <c r="D21" s="2" t="s">
        <v>84</v>
      </c>
      <c r="E21" s="2" t="s">
        <v>24</v>
      </c>
      <c r="F21" s="1">
        <v>350</v>
      </c>
      <c r="G21" s="278">
        <v>1000</v>
      </c>
      <c r="H21" s="278">
        <v>0</v>
      </c>
      <c r="I21" s="287">
        <v>1000</v>
      </c>
    </row>
    <row r="22" spans="1:9" ht="15" customHeight="1" x14ac:dyDescent="0.2">
      <c r="A22" s="2" t="s">
        <v>153</v>
      </c>
      <c r="B22" s="1" t="s">
        <v>217</v>
      </c>
      <c r="C22" s="1" t="s">
        <v>219</v>
      </c>
      <c r="D22" s="2" t="s">
        <v>85</v>
      </c>
      <c r="E22" s="2" t="s">
        <v>26</v>
      </c>
      <c r="F22" s="1">
        <v>171</v>
      </c>
      <c r="G22" s="278">
        <v>1000</v>
      </c>
      <c r="H22" s="278">
        <v>0</v>
      </c>
      <c r="I22" s="287">
        <v>1000</v>
      </c>
    </row>
    <row r="23" spans="1:9" x14ac:dyDescent="0.2">
      <c r="A23" s="2" t="s">
        <v>153</v>
      </c>
      <c r="B23" s="1" t="s">
        <v>217</v>
      </c>
      <c r="C23" s="1" t="s">
        <v>219</v>
      </c>
      <c r="D23" s="126" t="s">
        <v>86</v>
      </c>
      <c r="E23" s="2" t="s">
        <v>25</v>
      </c>
      <c r="F23" s="1">
        <v>258</v>
      </c>
      <c r="G23" s="278">
        <v>1000</v>
      </c>
      <c r="H23" s="278">
        <v>0</v>
      </c>
      <c r="I23" s="287">
        <v>1000</v>
      </c>
    </row>
    <row r="24" spans="1:9" ht="15" customHeight="1" x14ac:dyDescent="0.2">
      <c r="A24" s="2" t="s">
        <v>153</v>
      </c>
      <c r="B24" s="1" t="s">
        <v>217</v>
      </c>
      <c r="C24" s="1" t="s">
        <v>219</v>
      </c>
      <c r="D24" s="2" t="s">
        <v>87</v>
      </c>
      <c r="E24" s="2" t="s">
        <v>17</v>
      </c>
      <c r="F24" s="1">
        <v>260</v>
      </c>
      <c r="G24" s="278">
        <v>1000</v>
      </c>
      <c r="H24" s="278">
        <v>0</v>
      </c>
      <c r="I24" s="287">
        <v>1000</v>
      </c>
    </row>
    <row r="25" spans="1:9" ht="15" customHeight="1" x14ac:dyDescent="0.2">
      <c r="A25" s="2" t="s">
        <v>153</v>
      </c>
      <c r="B25" s="1" t="s">
        <v>217</v>
      </c>
      <c r="C25" s="1" t="s">
        <v>219</v>
      </c>
      <c r="D25" s="2" t="s">
        <v>88</v>
      </c>
      <c r="E25" s="2" t="s">
        <v>27</v>
      </c>
      <c r="F25" s="1">
        <v>367</v>
      </c>
      <c r="G25" s="278">
        <v>1000</v>
      </c>
      <c r="H25" s="278">
        <v>0</v>
      </c>
      <c r="I25" s="287">
        <v>1000</v>
      </c>
    </row>
    <row r="26" spans="1:9" x14ac:dyDescent="0.2">
      <c r="A26" s="2" t="s">
        <v>153</v>
      </c>
      <c r="B26" s="1" t="s">
        <v>217</v>
      </c>
      <c r="C26" s="1" t="s">
        <v>219</v>
      </c>
      <c r="D26" s="2" t="s">
        <v>89</v>
      </c>
      <c r="E26" s="2" t="s">
        <v>28</v>
      </c>
      <c r="F26" s="1">
        <v>351</v>
      </c>
      <c r="G26" s="278">
        <v>1000</v>
      </c>
      <c r="H26" s="278">
        <v>0</v>
      </c>
      <c r="I26" s="287">
        <v>1000</v>
      </c>
    </row>
    <row r="27" spans="1:9" ht="15.75" x14ac:dyDescent="0.25">
      <c r="A27" s="24" t="s">
        <v>29</v>
      </c>
      <c r="B27" s="4" t="s">
        <v>140</v>
      </c>
      <c r="C27" s="4" t="s">
        <v>140</v>
      </c>
      <c r="D27" s="4" t="s">
        <v>140</v>
      </c>
      <c r="E27" s="4" t="s">
        <v>140</v>
      </c>
      <c r="F27" s="4" t="s">
        <v>140</v>
      </c>
      <c r="G27" s="286">
        <f>SUBTOTAL(109,schoolannualclaim22[Program 
Payments and Offsets])</f>
        <v>24000</v>
      </c>
      <c r="H27" s="286">
        <f>SUBTOTAL(109,schoolannualclaim22[Interest
Payments and Offsets])</f>
        <v>0</v>
      </c>
      <c r="I27" s="286">
        <f>SUBTOTAL(109,schoolannualclaim22[Total
Payments])</f>
        <v>24000</v>
      </c>
    </row>
    <row r="28" spans="1:9" ht="15.75" x14ac:dyDescent="0.25">
      <c r="A28" s="31" t="s">
        <v>141</v>
      </c>
      <c r="B28" s="14"/>
      <c r="C28" s="14"/>
      <c r="D28" s="25"/>
      <c r="E28" s="25"/>
      <c r="F28" s="14"/>
      <c r="G28" s="32"/>
      <c r="H28" s="33"/>
      <c r="I28" s="32"/>
    </row>
    <row r="29" spans="1:9" ht="50.1" customHeight="1" x14ac:dyDescent="0.25">
      <c r="A29" s="11" t="s">
        <v>144</v>
      </c>
      <c r="B29" s="11" t="s">
        <v>5</v>
      </c>
      <c r="C29" s="11" t="s">
        <v>146</v>
      </c>
      <c r="D29" s="11" t="s">
        <v>6</v>
      </c>
      <c r="E29" s="11" t="s">
        <v>0</v>
      </c>
      <c r="F29" s="11" t="s">
        <v>125</v>
      </c>
      <c r="G29" s="11" t="s">
        <v>154</v>
      </c>
      <c r="H29" s="11" t="s">
        <v>127</v>
      </c>
      <c r="I29" s="11" t="s">
        <v>128</v>
      </c>
    </row>
    <row r="30" spans="1:9" ht="15.75" x14ac:dyDescent="0.2">
      <c r="A30" s="2" t="s">
        <v>1</v>
      </c>
      <c r="B30" s="36" t="s">
        <v>140</v>
      </c>
      <c r="C30" s="36" t="s">
        <v>140</v>
      </c>
      <c r="D30" s="36" t="s">
        <v>140</v>
      </c>
      <c r="E30" s="36" t="s">
        <v>140</v>
      </c>
      <c r="F30" s="36" t="s">
        <v>140</v>
      </c>
      <c r="G30" s="285">
        <v>148634848</v>
      </c>
      <c r="H30" s="279">
        <v>0</v>
      </c>
      <c r="I30" s="285">
        <v>148634848</v>
      </c>
    </row>
    <row r="31" spans="1:9" ht="15.75" x14ac:dyDescent="0.2">
      <c r="A31" s="2" t="s">
        <v>4</v>
      </c>
      <c r="B31" s="37" t="s">
        <v>140</v>
      </c>
      <c r="C31" s="37" t="s">
        <v>140</v>
      </c>
      <c r="D31" s="37" t="s">
        <v>140</v>
      </c>
      <c r="E31" s="37" t="s">
        <v>140</v>
      </c>
      <c r="F31" s="37" t="s">
        <v>140</v>
      </c>
      <c r="G31" s="279">
        <v>24000</v>
      </c>
      <c r="H31" s="279">
        <v>0</v>
      </c>
      <c r="I31" s="279">
        <v>24000</v>
      </c>
    </row>
    <row r="32" spans="1:9" ht="18.75" x14ac:dyDescent="0.25">
      <c r="A32" s="298" t="s">
        <v>649</v>
      </c>
      <c r="B32" s="4" t="s">
        <v>155</v>
      </c>
      <c r="C32" s="4" t="s">
        <v>140</v>
      </c>
      <c r="D32" s="4" t="s">
        <v>140</v>
      </c>
      <c r="E32" s="4" t="s">
        <v>140</v>
      </c>
      <c r="F32" s="4" t="s">
        <v>140</v>
      </c>
      <c r="G32" s="286">
        <f>SUBTOTAL(109,schoolgrandtotala1[Program 
Payments and Offsets])</f>
        <v>148658848</v>
      </c>
      <c r="H32" s="286">
        <f>SUBTOTAL(109,schoolgrandtotala1[Interest
Payments and Offsets])</f>
        <v>0</v>
      </c>
      <c r="I32" s="286">
        <f>SUBTOTAL(109,schoolgrandtotala1[Total
Payments])</f>
        <v>148658848</v>
      </c>
    </row>
    <row r="33" spans="1:1" x14ac:dyDescent="0.2">
      <c r="A33" s="34" t="s">
        <v>156</v>
      </c>
    </row>
    <row r="34" spans="1:1" ht="18" x14ac:dyDescent="0.2">
      <c r="A34" s="35" t="s">
        <v>230</v>
      </c>
    </row>
  </sheetData>
  <hyperlinks>
    <hyperlink ref="A32" location="'Schedule A1-Schools '!A34" display="Grand Total Local Agencies and School Districts4"/>
  </hyperlinks>
  <printOptions horizontalCentered="1" gridLines="1"/>
  <pageMargins left="0.25" right="0.25" top="0.75" bottom="0.75" header="0.3" footer="0.3"/>
  <pageSetup scale="51" fitToHeight="0" orientation="landscape" r:id="rId1"/>
  <headerFooter>
    <oddFooter>&amp;LSchedule A1: Detail of State-Mandated Program Payments by Fiscal Year
School Districts&amp;RPage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T122"/>
  <sheetViews>
    <sheetView topLeftCell="A7" zoomScaleNormal="100" workbookViewId="0">
      <selection activeCell="A32" sqref="A32"/>
    </sheetView>
  </sheetViews>
  <sheetFormatPr defaultColWidth="9.140625" defaultRowHeight="15" x14ac:dyDescent="0.2"/>
  <cols>
    <col min="1" max="1" width="82.85546875" style="5" customWidth="1"/>
    <col min="2" max="2" width="2.5703125" style="5" customWidth="1"/>
    <col min="3" max="3" width="23.85546875" style="5" customWidth="1"/>
    <col min="4" max="4" width="15.5703125" style="5" customWidth="1"/>
    <col min="5" max="5" width="20.5703125" style="5" bestFit="1" customWidth="1"/>
    <col min="6" max="6" width="21.140625" style="5" customWidth="1"/>
    <col min="7" max="7" width="2.5703125" style="5" customWidth="1"/>
    <col min="8" max="8" width="21.28515625" style="5" customWidth="1"/>
    <col min="9" max="9" width="2.5703125" style="5" customWidth="1"/>
    <col min="10" max="10" width="18.5703125" style="5" customWidth="1"/>
    <col min="11" max="11" width="2.5703125" style="5" customWidth="1"/>
    <col min="12" max="13" width="17.5703125" style="5" customWidth="1"/>
    <col min="14" max="14" width="2.5703125" style="5" customWidth="1"/>
    <col min="15" max="15" width="21.28515625" style="5" customWidth="1"/>
    <col min="16" max="16" width="2.5703125" style="128" customWidth="1"/>
    <col min="17" max="18" width="10.28515625" style="128" customWidth="1"/>
    <col min="19" max="21" width="10.28515625" style="5" customWidth="1"/>
    <col min="22" max="16384" width="9.140625" style="5"/>
  </cols>
  <sheetData>
    <row r="1" spans="1:20" ht="54" x14ac:dyDescent="0.25">
      <c r="A1" s="7" t="s">
        <v>231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127"/>
    </row>
    <row r="2" spans="1:20" ht="60" customHeight="1" x14ac:dyDescent="0.25">
      <c r="A2" s="129" t="s">
        <v>232</v>
      </c>
      <c r="B2" s="130" t="s">
        <v>142</v>
      </c>
      <c r="C2" s="12" t="s">
        <v>5</v>
      </c>
      <c r="D2" s="131" t="s">
        <v>233</v>
      </c>
      <c r="E2" s="132" t="s">
        <v>234</v>
      </c>
      <c r="F2" s="12" t="s">
        <v>235</v>
      </c>
      <c r="G2" s="133" t="s">
        <v>236</v>
      </c>
      <c r="H2" s="12" t="s">
        <v>237</v>
      </c>
      <c r="I2" s="130" t="s">
        <v>238</v>
      </c>
      <c r="J2" s="134" t="s">
        <v>239</v>
      </c>
      <c r="K2" s="130" t="s">
        <v>240</v>
      </c>
      <c r="L2" s="12" t="s">
        <v>241</v>
      </c>
      <c r="M2" s="134" t="s">
        <v>242</v>
      </c>
      <c r="N2" s="130" t="s">
        <v>243</v>
      </c>
      <c r="O2" s="134" t="s">
        <v>244</v>
      </c>
      <c r="P2" s="135" t="s">
        <v>245</v>
      </c>
    </row>
    <row r="3" spans="1:20" ht="17.25" customHeight="1" x14ac:dyDescent="0.25">
      <c r="A3" s="136" t="s">
        <v>246</v>
      </c>
      <c r="B3" s="86" t="s">
        <v>140</v>
      </c>
      <c r="C3" s="86" t="s">
        <v>140</v>
      </c>
      <c r="D3" s="86" t="s">
        <v>140</v>
      </c>
      <c r="E3" s="86" t="s">
        <v>140</v>
      </c>
      <c r="F3" s="86" t="s">
        <v>140</v>
      </c>
      <c r="G3" s="86" t="s">
        <v>247</v>
      </c>
      <c r="H3" s="86" t="s">
        <v>140</v>
      </c>
      <c r="I3" s="86" t="s">
        <v>140</v>
      </c>
      <c r="J3" s="86" t="s">
        <v>140</v>
      </c>
      <c r="K3" s="86" t="s">
        <v>140</v>
      </c>
      <c r="L3" s="86" t="s">
        <v>140</v>
      </c>
      <c r="M3" s="86" t="s">
        <v>140</v>
      </c>
      <c r="N3" s="86" t="s">
        <v>140</v>
      </c>
      <c r="O3" s="86" t="s">
        <v>140</v>
      </c>
      <c r="P3" s="137" t="s">
        <v>140</v>
      </c>
      <c r="Q3" s="138"/>
    </row>
    <row r="4" spans="1:20" ht="17.25" customHeight="1" x14ac:dyDescent="0.25">
      <c r="A4" s="139" t="s">
        <v>1</v>
      </c>
      <c r="B4" s="86" t="s">
        <v>140</v>
      </c>
      <c r="C4" s="42" t="s">
        <v>248</v>
      </c>
      <c r="D4" s="42" t="s">
        <v>249</v>
      </c>
      <c r="E4" s="288">
        <v>698363536</v>
      </c>
      <c r="F4" s="288">
        <v>322384211</v>
      </c>
      <c r="G4" s="140">
        <v>1</v>
      </c>
      <c r="H4" s="288">
        <v>375979325</v>
      </c>
      <c r="I4" s="86" t="s">
        <v>140</v>
      </c>
      <c r="J4" s="288">
        <v>64167816</v>
      </c>
      <c r="K4" s="86" t="s">
        <v>140</v>
      </c>
      <c r="L4" s="288">
        <v>51763603</v>
      </c>
      <c r="M4" s="288">
        <v>12404213</v>
      </c>
      <c r="N4" s="86" t="s">
        <v>140</v>
      </c>
      <c r="O4" s="288">
        <v>363575112</v>
      </c>
      <c r="P4" s="86" t="s">
        <v>140</v>
      </c>
      <c r="Q4" s="138"/>
    </row>
    <row r="5" spans="1:20" ht="17.25" customHeight="1" x14ac:dyDescent="0.25">
      <c r="A5" s="72" t="s">
        <v>250</v>
      </c>
      <c r="B5" s="87" t="s">
        <v>140</v>
      </c>
      <c r="C5" s="87" t="s">
        <v>140</v>
      </c>
      <c r="D5" s="87" t="s">
        <v>140</v>
      </c>
      <c r="E5" s="289">
        <f>SUBTOTAL(109,scheduleblocalfunded[Program
Costs])</f>
        <v>698363536</v>
      </c>
      <c r="F5" s="289">
        <f>SUBTOTAL(109,scheduleblocalfunded[Less: Net Payments and Offsets])</f>
        <v>322384211</v>
      </c>
      <c r="G5" s="87" t="s">
        <v>140</v>
      </c>
      <c r="H5" s="289">
        <f>SUBTOTAL(109,scheduleblocalfunded[Accounts Payable
Balance3])</f>
        <v>375979325</v>
      </c>
      <c r="I5" s="87" t="s">
        <v>140</v>
      </c>
      <c r="J5" s="289">
        <f>SUBTOTAL(109,scheduleblocalfunded[Established
Accounts
Receivable4])</f>
        <v>64167816</v>
      </c>
      <c r="K5" s="87" t="s">
        <v>140</v>
      </c>
      <c r="L5" s="289">
        <f>SUBTOTAL(109,scheduleblocalfunded[Less: Recovered
Amount])</f>
        <v>51763603</v>
      </c>
      <c r="M5" s="289">
        <f>SUBTOTAL(109,scheduleblocalfunded[Accounts
Receivable
Balance5])</f>
        <v>12404213</v>
      </c>
      <c r="N5" s="87" t="s">
        <v>140</v>
      </c>
      <c r="O5" s="289">
        <f>SUBTOTAL(109,scheduleblocalfunded[Net
Balance6])</f>
        <v>363575112</v>
      </c>
      <c r="P5" s="86" t="s">
        <v>140</v>
      </c>
      <c r="Q5" s="138"/>
    </row>
    <row r="6" spans="1:20" ht="15.75" x14ac:dyDescent="0.25">
      <c r="A6" s="141" t="s">
        <v>141</v>
      </c>
      <c r="B6" s="142"/>
      <c r="C6" s="42"/>
      <c r="D6" s="143"/>
      <c r="E6" s="144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38"/>
      <c r="Q6" s="138"/>
    </row>
    <row r="7" spans="1:20" ht="60" customHeight="1" x14ac:dyDescent="0.25">
      <c r="A7" s="129" t="s">
        <v>232</v>
      </c>
      <c r="B7" s="130" t="s">
        <v>142</v>
      </c>
      <c r="C7" s="12" t="s">
        <v>5</v>
      </c>
      <c r="D7" s="131" t="s">
        <v>233</v>
      </c>
      <c r="E7" s="132" t="s">
        <v>234</v>
      </c>
      <c r="F7" s="12" t="s">
        <v>235</v>
      </c>
      <c r="G7" s="133" t="s">
        <v>236</v>
      </c>
      <c r="H7" s="12" t="s">
        <v>237</v>
      </c>
      <c r="I7" s="133" t="s">
        <v>251</v>
      </c>
      <c r="J7" s="12" t="s">
        <v>252</v>
      </c>
      <c r="K7" s="133" t="s">
        <v>253</v>
      </c>
      <c r="L7" s="12" t="s">
        <v>241</v>
      </c>
      <c r="M7" s="12" t="s">
        <v>254</v>
      </c>
      <c r="N7" s="133" t="s">
        <v>255</v>
      </c>
      <c r="O7" s="12" t="s">
        <v>256</v>
      </c>
      <c r="P7" s="145" t="s">
        <v>257</v>
      </c>
      <c r="Q7" s="138"/>
    </row>
    <row r="8" spans="1:20" ht="17.25" customHeight="1" x14ac:dyDescent="0.25">
      <c r="A8" s="136" t="s">
        <v>258</v>
      </c>
      <c r="B8" s="86" t="s">
        <v>140</v>
      </c>
      <c r="C8" s="86" t="s">
        <v>140</v>
      </c>
      <c r="D8" s="86" t="s">
        <v>140</v>
      </c>
      <c r="E8" s="86" t="s">
        <v>140</v>
      </c>
      <c r="F8" s="86" t="s">
        <v>140</v>
      </c>
      <c r="G8" s="86" t="s">
        <v>259</v>
      </c>
      <c r="H8" s="86" t="s">
        <v>140</v>
      </c>
      <c r="I8" s="86" t="s">
        <v>140</v>
      </c>
      <c r="J8" s="86" t="s">
        <v>140</v>
      </c>
      <c r="K8" s="86" t="s">
        <v>140</v>
      </c>
      <c r="L8" s="86" t="s">
        <v>140</v>
      </c>
      <c r="M8" s="86" t="s">
        <v>140</v>
      </c>
      <c r="N8" s="86" t="s">
        <v>140</v>
      </c>
      <c r="O8" s="86" t="s">
        <v>140</v>
      </c>
      <c r="P8" s="86" t="s">
        <v>140</v>
      </c>
      <c r="Q8" s="138"/>
    </row>
    <row r="9" spans="1:20" ht="17.25" customHeight="1" x14ac:dyDescent="0.25">
      <c r="A9" s="139" t="s">
        <v>4</v>
      </c>
      <c r="B9" s="86" t="s">
        <v>140</v>
      </c>
      <c r="C9" s="42" t="s">
        <v>248</v>
      </c>
      <c r="D9" s="42" t="s">
        <v>249</v>
      </c>
      <c r="E9" s="288">
        <v>6144637872</v>
      </c>
      <c r="F9" s="288">
        <v>5315115811</v>
      </c>
      <c r="G9" s="146">
        <v>2</v>
      </c>
      <c r="H9" s="288">
        <v>829522061</v>
      </c>
      <c r="I9" s="86" t="s">
        <v>140</v>
      </c>
      <c r="J9" s="288">
        <v>195262044</v>
      </c>
      <c r="K9" s="86" t="s">
        <v>140</v>
      </c>
      <c r="L9" s="288">
        <v>143556844</v>
      </c>
      <c r="M9" s="288">
        <v>51705200</v>
      </c>
      <c r="N9" s="86" t="s">
        <v>140</v>
      </c>
      <c r="O9" s="288">
        <v>777816861</v>
      </c>
      <c r="P9" s="86" t="s">
        <v>140</v>
      </c>
      <c r="Q9" s="138"/>
      <c r="R9" s="128" t="s">
        <v>260</v>
      </c>
    </row>
    <row r="10" spans="1:20" ht="17.25" customHeight="1" x14ac:dyDescent="0.25">
      <c r="A10" s="139" t="s">
        <v>261</v>
      </c>
      <c r="B10" s="86" t="s">
        <v>140</v>
      </c>
      <c r="C10" s="42" t="s">
        <v>262</v>
      </c>
      <c r="D10" s="42" t="s">
        <v>249</v>
      </c>
      <c r="E10" s="288">
        <v>162623509</v>
      </c>
      <c r="F10" s="288">
        <v>151913713</v>
      </c>
      <c r="G10" s="146">
        <v>2</v>
      </c>
      <c r="H10" s="288">
        <v>10709796</v>
      </c>
      <c r="I10" s="86" t="s">
        <v>140</v>
      </c>
      <c r="J10" s="288">
        <v>24929129</v>
      </c>
      <c r="K10" s="86" t="s">
        <v>140</v>
      </c>
      <c r="L10" s="288">
        <v>12137711</v>
      </c>
      <c r="M10" s="288">
        <v>12791418</v>
      </c>
      <c r="N10" s="86" t="s">
        <v>140</v>
      </c>
      <c r="O10" s="288">
        <v>-2081622</v>
      </c>
      <c r="P10" s="86" t="s">
        <v>140</v>
      </c>
      <c r="Q10" s="138"/>
    </row>
    <row r="11" spans="1:20" ht="17.25" customHeight="1" x14ac:dyDescent="0.25">
      <c r="A11" s="72" t="s">
        <v>263</v>
      </c>
      <c r="B11" s="87" t="s">
        <v>140</v>
      </c>
      <c r="C11" s="87" t="s">
        <v>140</v>
      </c>
      <c r="D11" s="87" t="s">
        <v>140</v>
      </c>
      <c r="E11" s="289">
        <f>SUBTOTAL(109,schedulebsdandccdfunded[Program
Costs])</f>
        <v>6307261381</v>
      </c>
      <c r="F11" s="289">
        <f>SUBTOTAL(109,schedulebsdandccdfunded[Less: Net Payments and Offsets])</f>
        <v>5467029524</v>
      </c>
      <c r="G11" s="87" t="s">
        <v>140</v>
      </c>
      <c r="H11" s="289">
        <f>SUBTOTAL(109,schedulebsdandccdfunded[Accounts Payable
Balance3])</f>
        <v>840231857</v>
      </c>
      <c r="I11" s="87" t="s">
        <v>140</v>
      </c>
      <c r="J11" s="289">
        <f>SUBTOTAL(109,schedulebsdandccdfunded[Established
Accounts
Receivable4])</f>
        <v>220191173</v>
      </c>
      <c r="K11" s="87" t="s">
        <v>140</v>
      </c>
      <c r="L11" s="289">
        <f>SUBTOTAL(109,schedulebsdandccdfunded[Less: Recovered
Amount])</f>
        <v>155694555</v>
      </c>
      <c r="M11" s="289">
        <f>SUBTOTAL(109,schedulebsdandccdfunded[Accounts
Receivable
Balance5])</f>
        <v>64496618</v>
      </c>
      <c r="N11" s="87" t="s">
        <v>140</v>
      </c>
      <c r="O11" s="289">
        <f>SUBTOTAL(109,schedulebsdandccdfunded[Net
Balance6])</f>
        <v>775735239</v>
      </c>
      <c r="P11" s="86" t="s">
        <v>140</v>
      </c>
      <c r="Q11" s="138"/>
    </row>
    <row r="12" spans="1:20" ht="15.75" x14ac:dyDescent="0.25">
      <c r="A12" s="141" t="s">
        <v>141</v>
      </c>
      <c r="B12" s="142"/>
      <c r="C12" s="42"/>
      <c r="D12" s="143"/>
      <c r="E12" s="144"/>
      <c r="F12" s="144"/>
      <c r="G12" s="144"/>
      <c r="H12" s="144"/>
      <c r="I12" s="144"/>
      <c r="J12" s="144"/>
      <c r="K12" s="144"/>
      <c r="L12" s="144"/>
      <c r="M12" s="144"/>
      <c r="N12" s="144"/>
      <c r="O12" s="144"/>
      <c r="P12" s="138"/>
      <c r="Q12" s="138"/>
    </row>
    <row r="13" spans="1:20" ht="60" customHeight="1" x14ac:dyDescent="0.25">
      <c r="A13" s="129" t="s">
        <v>232</v>
      </c>
      <c r="B13" s="130" t="s">
        <v>142</v>
      </c>
      <c r="C13" s="12" t="s">
        <v>5</v>
      </c>
      <c r="D13" s="131" t="s">
        <v>233</v>
      </c>
      <c r="E13" s="132" t="s">
        <v>234</v>
      </c>
      <c r="F13" s="12" t="s">
        <v>235</v>
      </c>
      <c r="G13" s="133" t="s">
        <v>236</v>
      </c>
      <c r="H13" s="12" t="s">
        <v>237</v>
      </c>
      <c r="I13" s="133" t="s">
        <v>251</v>
      </c>
      <c r="J13" s="12" t="s">
        <v>252</v>
      </c>
      <c r="K13" s="133" t="s">
        <v>253</v>
      </c>
      <c r="L13" s="12" t="s">
        <v>241</v>
      </c>
      <c r="M13" s="12" t="s">
        <v>254</v>
      </c>
      <c r="N13" s="133" t="s">
        <v>255</v>
      </c>
      <c r="O13" s="12" t="s">
        <v>256</v>
      </c>
      <c r="P13" s="145" t="s">
        <v>257</v>
      </c>
      <c r="Q13" s="138"/>
    </row>
    <row r="14" spans="1:20" ht="17.25" customHeight="1" x14ac:dyDescent="0.25">
      <c r="A14" s="139" t="s">
        <v>1</v>
      </c>
      <c r="B14" s="86" t="s">
        <v>140</v>
      </c>
      <c r="C14" s="42" t="s">
        <v>248</v>
      </c>
      <c r="D14" s="42" t="s">
        <v>249</v>
      </c>
      <c r="E14" s="288">
        <v>698363536</v>
      </c>
      <c r="F14" s="288">
        <v>322384211</v>
      </c>
      <c r="G14" s="86" t="s">
        <v>140</v>
      </c>
      <c r="H14" s="288">
        <v>375979325</v>
      </c>
      <c r="I14" s="86" t="s">
        <v>140</v>
      </c>
      <c r="J14" s="288">
        <v>64167816</v>
      </c>
      <c r="K14" s="86" t="s">
        <v>140</v>
      </c>
      <c r="L14" s="288">
        <v>51763603</v>
      </c>
      <c r="M14" s="288">
        <v>12404213</v>
      </c>
      <c r="N14" s="86" t="s">
        <v>140</v>
      </c>
      <c r="O14" s="288">
        <v>363575112</v>
      </c>
      <c r="P14" s="86" t="s">
        <v>140</v>
      </c>
      <c r="Q14" s="138"/>
      <c r="S14" s="128"/>
      <c r="T14" s="128"/>
    </row>
    <row r="15" spans="1:20" ht="17.25" customHeight="1" x14ac:dyDescent="0.25">
      <c r="A15" s="139" t="s">
        <v>4</v>
      </c>
      <c r="B15" s="86" t="s">
        <v>140</v>
      </c>
      <c r="C15" s="42" t="s">
        <v>248</v>
      </c>
      <c r="D15" s="42" t="s">
        <v>249</v>
      </c>
      <c r="E15" s="288">
        <v>6144637872</v>
      </c>
      <c r="F15" s="288">
        <v>5315115811</v>
      </c>
      <c r="G15" s="86" t="s">
        <v>140</v>
      </c>
      <c r="H15" s="288">
        <v>829522061</v>
      </c>
      <c r="I15" s="86" t="s">
        <v>140</v>
      </c>
      <c r="J15" s="288">
        <v>195262044</v>
      </c>
      <c r="K15" s="86" t="s">
        <v>140</v>
      </c>
      <c r="L15" s="288">
        <v>143556844</v>
      </c>
      <c r="M15" s="288">
        <v>51705200</v>
      </c>
      <c r="N15" s="86" t="s">
        <v>140</v>
      </c>
      <c r="O15" s="288">
        <v>777816861</v>
      </c>
      <c r="P15" s="86" t="s">
        <v>140</v>
      </c>
      <c r="Q15" s="138"/>
      <c r="S15" s="128"/>
      <c r="T15" s="128"/>
    </row>
    <row r="16" spans="1:20" ht="17.25" customHeight="1" x14ac:dyDescent="0.25">
      <c r="A16" s="139" t="s">
        <v>261</v>
      </c>
      <c r="B16" s="86" t="s">
        <v>140</v>
      </c>
      <c r="C16" s="42" t="s">
        <v>262</v>
      </c>
      <c r="D16" s="42" t="s">
        <v>249</v>
      </c>
      <c r="E16" s="288">
        <v>162623509</v>
      </c>
      <c r="F16" s="288">
        <v>151913713</v>
      </c>
      <c r="G16" s="86" t="s">
        <v>140</v>
      </c>
      <c r="H16" s="288">
        <v>10709796</v>
      </c>
      <c r="I16" s="86" t="s">
        <v>140</v>
      </c>
      <c r="J16" s="288">
        <v>24929129</v>
      </c>
      <c r="K16" s="86" t="s">
        <v>140</v>
      </c>
      <c r="L16" s="288">
        <v>12137711</v>
      </c>
      <c r="M16" s="288">
        <v>12791418</v>
      </c>
      <c r="N16" s="86" t="s">
        <v>140</v>
      </c>
      <c r="O16" s="288">
        <v>-2081622</v>
      </c>
      <c r="P16" s="86" t="s">
        <v>140</v>
      </c>
      <c r="Q16" s="138"/>
      <c r="S16" s="128"/>
      <c r="T16" s="128"/>
    </row>
    <row r="17" spans="1:20" ht="17.25" customHeight="1" x14ac:dyDescent="0.25">
      <c r="A17" s="147" t="s">
        <v>264</v>
      </c>
      <c r="B17" s="87" t="s">
        <v>265</v>
      </c>
      <c r="C17" s="87" t="s">
        <v>140</v>
      </c>
      <c r="D17" s="87" t="s">
        <v>140</v>
      </c>
      <c r="E17" s="289">
        <f>SUBTOTAL(109,fundedmandatesgrandtotal[Program
Costs])</f>
        <v>7005624917</v>
      </c>
      <c r="F17" s="289">
        <f>SUBTOTAL(109,fundedmandatesgrandtotal[Less: Net Payments and Offsets])</f>
        <v>5789413735</v>
      </c>
      <c r="G17" s="87" t="s">
        <v>140</v>
      </c>
      <c r="H17" s="289">
        <f>SUBTOTAL(109,fundedmandatesgrandtotal[Accounts Payable
Balance3])</f>
        <v>1216211182</v>
      </c>
      <c r="I17" s="87" t="s">
        <v>140</v>
      </c>
      <c r="J17" s="289">
        <f>SUBTOTAL(109,fundedmandatesgrandtotal[Established
Accounts
Receivable4])</f>
        <v>284358989</v>
      </c>
      <c r="K17" s="87" t="s">
        <v>140</v>
      </c>
      <c r="L17" s="289">
        <f>SUBTOTAL(109,fundedmandatesgrandtotal[Less: Recovered
Amount])</f>
        <v>207458158</v>
      </c>
      <c r="M17" s="289">
        <f>SUBTOTAL(109,fundedmandatesgrandtotal[Accounts
Receivable
Balance5])</f>
        <v>76900831</v>
      </c>
      <c r="N17" s="87" t="s">
        <v>140</v>
      </c>
      <c r="O17" s="289">
        <f>SUBTOTAL(109,fundedmandatesgrandtotal[Net
Balance6])</f>
        <v>1139310351</v>
      </c>
      <c r="P17" s="86" t="s">
        <v>140</v>
      </c>
      <c r="Q17" s="138"/>
      <c r="S17" s="128"/>
      <c r="T17" s="128"/>
    </row>
    <row r="18" spans="1:20" ht="17.25" customHeight="1" x14ac:dyDescent="0.25">
      <c r="A18" s="141" t="s">
        <v>141</v>
      </c>
      <c r="B18" s="13"/>
      <c r="C18" s="42"/>
      <c r="D18" s="42"/>
      <c r="E18" s="81"/>
      <c r="F18" s="81"/>
      <c r="G18" s="146"/>
      <c r="H18" s="43"/>
      <c r="I18" s="43"/>
      <c r="J18" s="43"/>
      <c r="K18" s="43"/>
      <c r="L18" s="43"/>
      <c r="M18" s="43"/>
      <c r="N18" s="43"/>
      <c r="O18" s="43"/>
      <c r="P18" s="138"/>
      <c r="Q18" s="138"/>
      <c r="S18" s="128"/>
      <c r="T18" s="128"/>
    </row>
    <row r="19" spans="1:20" ht="60" customHeight="1" x14ac:dyDescent="0.25">
      <c r="A19" s="129" t="s">
        <v>232</v>
      </c>
      <c r="B19" s="130" t="s">
        <v>142</v>
      </c>
      <c r="C19" s="12" t="s">
        <v>5</v>
      </c>
      <c r="D19" s="131" t="s">
        <v>233</v>
      </c>
      <c r="E19" s="132" t="s">
        <v>234</v>
      </c>
      <c r="F19" s="12" t="s">
        <v>235</v>
      </c>
      <c r="G19" s="133" t="s">
        <v>236</v>
      </c>
      <c r="H19" s="12" t="s">
        <v>237</v>
      </c>
      <c r="I19" s="133" t="s">
        <v>251</v>
      </c>
      <c r="J19" s="12" t="s">
        <v>252</v>
      </c>
      <c r="K19" s="133" t="s">
        <v>253</v>
      </c>
      <c r="L19" s="12" t="s">
        <v>241</v>
      </c>
      <c r="M19" s="12" t="s">
        <v>254</v>
      </c>
      <c r="N19" s="133" t="s">
        <v>255</v>
      </c>
      <c r="O19" s="12" t="s">
        <v>256</v>
      </c>
      <c r="P19" s="145" t="s">
        <v>257</v>
      </c>
      <c r="Q19" s="138"/>
      <c r="S19" s="128"/>
      <c r="T19" s="128"/>
    </row>
    <row r="20" spans="1:20" ht="17.25" customHeight="1" x14ac:dyDescent="0.25">
      <c r="A20" s="136" t="s">
        <v>246</v>
      </c>
      <c r="B20" s="86" t="s">
        <v>140</v>
      </c>
      <c r="C20" s="86" t="s">
        <v>140</v>
      </c>
      <c r="D20" s="86" t="s">
        <v>140</v>
      </c>
      <c r="E20" s="86" t="s">
        <v>140</v>
      </c>
      <c r="F20" s="86" t="s">
        <v>140</v>
      </c>
      <c r="G20" s="86" t="s">
        <v>140</v>
      </c>
      <c r="H20" s="86" t="s">
        <v>140</v>
      </c>
      <c r="I20" s="86" t="s">
        <v>140</v>
      </c>
      <c r="J20" s="86" t="s">
        <v>140</v>
      </c>
      <c r="K20" s="86" t="s">
        <v>140</v>
      </c>
      <c r="L20" s="86" t="s">
        <v>140</v>
      </c>
      <c r="M20" s="86" t="s">
        <v>140</v>
      </c>
      <c r="N20" s="86" t="s">
        <v>140</v>
      </c>
      <c r="O20" s="86" t="s">
        <v>140</v>
      </c>
      <c r="P20" s="86" t="s">
        <v>140</v>
      </c>
    </row>
    <row r="21" spans="1:20" ht="17.25" customHeight="1" x14ac:dyDescent="0.25">
      <c r="A21" s="139" t="s">
        <v>1</v>
      </c>
      <c r="B21" s="86" t="s">
        <v>140</v>
      </c>
      <c r="C21" s="42" t="s">
        <v>248</v>
      </c>
      <c r="D21" s="42" t="s">
        <v>266</v>
      </c>
      <c r="E21" s="288">
        <v>403732400</v>
      </c>
      <c r="F21" s="288">
        <v>0</v>
      </c>
      <c r="G21" s="86" t="s">
        <v>140</v>
      </c>
      <c r="H21" s="288">
        <v>403732400</v>
      </c>
      <c r="I21" s="86" t="s">
        <v>140</v>
      </c>
      <c r="J21" s="288">
        <v>0</v>
      </c>
      <c r="K21" s="148" t="s">
        <v>140</v>
      </c>
      <c r="L21" s="288">
        <v>0</v>
      </c>
      <c r="M21" s="288">
        <v>0</v>
      </c>
      <c r="N21" s="86" t="s">
        <v>140</v>
      </c>
      <c r="O21" s="288">
        <v>403732400</v>
      </c>
      <c r="P21" s="86" t="s">
        <v>140</v>
      </c>
    </row>
    <row r="22" spans="1:20" s="151" customFormat="1" ht="17.25" customHeight="1" x14ac:dyDescent="0.25">
      <c r="A22" s="72" t="s">
        <v>250</v>
      </c>
      <c r="B22" s="87" t="s">
        <v>140</v>
      </c>
      <c r="C22" s="87" t="s">
        <v>140</v>
      </c>
      <c r="D22" s="87" t="s">
        <v>140</v>
      </c>
      <c r="E22" s="289">
        <f>SUBTOTAL(109,scheduleblocalunfunded[Program
Costs])</f>
        <v>403732400</v>
      </c>
      <c r="F22" s="289">
        <f>SUBTOTAL(109,scheduleblocalunfunded[Less: Net Payments and Offsets])</f>
        <v>0</v>
      </c>
      <c r="G22" s="87" t="s">
        <v>140</v>
      </c>
      <c r="H22" s="289">
        <f>SUBTOTAL(109,scheduleblocalunfunded[Accounts Payable
Balance3])</f>
        <v>403732400</v>
      </c>
      <c r="I22" s="87" t="s">
        <v>140</v>
      </c>
      <c r="J22" s="289">
        <f>SUBTOTAL(109,scheduleblocalunfunded[Established
Accounts
Receivable4])</f>
        <v>0</v>
      </c>
      <c r="K22" s="149" t="s">
        <v>140</v>
      </c>
      <c r="L22" s="289">
        <f>SUBTOTAL(109,scheduleblocalunfunded[Less: Recovered
Amount])</f>
        <v>0</v>
      </c>
      <c r="M22" s="289">
        <f>SUBTOTAL(109,scheduleblocalunfunded[Accounts
Receivable
Balance5])</f>
        <v>0</v>
      </c>
      <c r="N22" s="87" t="s">
        <v>140</v>
      </c>
      <c r="O22" s="289">
        <f>SUBTOTAL(109,scheduleblocalunfunded[Net
Balance6])</f>
        <v>403732400</v>
      </c>
      <c r="P22" s="86" t="s">
        <v>140</v>
      </c>
      <c r="Q22" s="150"/>
      <c r="R22" s="150"/>
    </row>
    <row r="23" spans="1:20" s="151" customFormat="1" ht="17.25" customHeight="1" x14ac:dyDescent="0.25">
      <c r="A23" s="141" t="s">
        <v>141</v>
      </c>
      <c r="B23" s="13"/>
      <c r="C23" s="42"/>
      <c r="D23" s="42"/>
      <c r="E23" s="81"/>
      <c r="F23" s="81"/>
      <c r="G23" s="146"/>
      <c r="H23" s="43"/>
      <c r="I23" s="43"/>
      <c r="J23" s="43"/>
      <c r="K23" s="43"/>
      <c r="L23" s="43"/>
      <c r="M23" s="43"/>
      <c r="N23" s="43"/>
      <c r="O23" s="43"/>
      <c r="P23" s="138"/>
      <c r="Q23" s="150"/>
      <c r="R23" s="150"/>
    </row>
    <row r="24" spans="1:20" s="151" customFormat="1" ht="60" customHeight="1" x14ac:dyDescent="0.25">
      <c r="A24" s="129" t="s">
        <v>232</v>
      </c>
      <c r="B24" s="130" t="s">
        <v>142</v>
      </c>
      <c r="C24" s="12" t="s">
        <v>5</v>
      </c>
      <c r="D24" s="131" t="s">
        <v>233</v>
      </c>
      <c r="E24" s="132" t="s">
        <v>234</v>
      </c>
      <c r="F24" s="12" t="s">
        <v>235</v>
      </c>
      <c r="G24" s="133" t="s">
        <v>236</v>
      </c>
      <c r="H24" s="12" t="s">
        <v>237</v>
      </c>
      <c r="I24" s="133" t="s">
        <v>251</v>
      </c>
      <c r="J24" s="12" t="s">
        <v>252</v>
      </c>
      <c r="K24" s="133" t="s">
        <v>253</v>
      </c>
      <c r="L24" s="12" t="s">
        <v>241</v>
      </c>
      <c r="M24" s="12" t="s">
        <v>254</v>
      </c>
      <c r="N24" s="133" t="s">
        <v>255</v>
      </c>
      <c r="O24" s="12" t="s">
        <v>256</v>
      </c>
      <c r="P24" s="145" t="s">
        <v>257</v>
      </c>
      <c r="Q24" s="150"/>
      <c r="R24" s="150"/>
    </row>
    <row r="25" spans="1:20" s="151" customFormat="1" ht="17.25" customHeight="1" x14ac:dyDescent="0.25">
      <c r="A25" s="139" t="s">
        <v>1</v>
      </c>
      <c r="B25" s="86" t="s">
        <v>140</v>
      </c>
      <c r="C25" s="42" t="s">
        <v>248</v>
      </c>
      <c r="D25" s="42" t="s">
        <v>266</v>
      </c>
      <c r="E25" s="288">
        <v>403732400</v>
      </c>
      <c r="F25" s="288">
        <v>0</v>
      </c>
      <c r="G25" s="86" t="s">
        <v>140</v>
      </c>
      <c r="H25" s="288">
        <v>40732400</v>
      </c>
      <c r="I25" s="86" t="s">
        <v>267</v>
      </c>
      <c r="J25" s="288">
        <v>0</v>
      </c>
      <c r="K25" s="148" t="s">
        <v>140</v>
      </c>
      <c r="L25" s="288">
        <v>0</v>
      </c>
      <c r="M25" s="288">
        <v>0</v>
      </c>
      <c r="N25" s="86" t="s">
        <v>140</v>
      </c>
      <c r="O25" s="288">
        <v>403732400</v>
      </c>
      <c r="P25" s="86" t="s">
        <v>140</v>
      </c>
      <c r="Q25" s="150"/>
      <c r="R25" s="150"/>
    </row>
    <row r="26" spans="1:20" s="151" customFormat="1" ht="17.25" customHeight="1" x14ac:dyDescent="0.25">
      <c r="A26" s="147" t="s">
        <v>268</v>
      </c>
      <c r="B26" s="152" t="s">
        <v>269</v>
      </c>
      <c r="C26" s="87" t="s">
        <v>140</v>
      </c>
      <c r="D26" s="87" t="s">
        <v>140</v>
      </c>
      <c r="E26" s="289">
        <f>SUBTOTAL(109,schedulebunfunded[Program
Costs])</f>
        <v>403732400</v>
      </c>
      <c r="F26" s="289">
        <f>SUBTOTAL(109,schedulebunfunded[Less: Net Payments and Offsets])</f>
        <v>0</v>
      </c>
      <c r="G26" s="87" t="s">
        <v>140</v>
      </c>
      <c r="H26" s="289">
        <f>SUBTOTAL(109,schedulebunfunded[Accounts Payable
Balance3])</f>
        <v>40732400</v>
      </c>
      <c r="I26" s="87" t="s">
        <v>140</v>
      </c>
      <c r="J26" s="289">
        <f>SUBTOTAL(109,schedulebunfunded[Established
Accounts
Receivable4])</f>
        <v>0</v>
      </c>
      <c r="K26" s="149" t="s">
        <v>140</v>
      </c>
      <c r="L26" s="289">
        <f>SUBTOTAL(109,schedulebunfunded[Less: Recovered
Amount])</f>
        <v>0</v>
      </c>
      <c r="M26" s="289">
        <f>SUBTOTAL(109,schedulebunfunded[Accounts
Receivable
Balance5])</f>
        <v>0</v>
      </c>
      <c r="N26" s="87" t="s">
        <v>140</v>
      </c>
      <c r="O26" s="289">
        <f>SUBTOTAL(109,schedulebunfunded[Net
Balance6])</f>
        <v>403732400</v>
      </c>
      <c r="P26" s="86" t="s">
        <v>140</v>
      </c>
      <c r="Q26" s="150"/>
      <c r="R26" s="150"/>
    </row>
    <row r="27" spans="1:20" s="151" customFormat="1" ht="17.25" customHeight="1" x14ac:dyDescent="0.25">
      <c r="A27" s="141" t="s">
        <v>141</v>
      </c>
      <c r="B27" s="13"/>
      <c r="C27" s="42"/>
      <c r="D27" s="42"/>
      <c r="E27" s="81"/>
      <c r="F27" s="81"/>
      <c r="G27" s="146"/>
      <c r="H27" s="43"/>
      <c r="I27" s="43"/>
      <c r="J27" s="43"/>
      <c r="K27" s="43"/>
      <c r="L27" s="43"/>
      <c r="M27" s="43"/>
      <c r="N27" s="43"/>
      <c r="O27" s="43"/>
      <c r="P27" s="138"/>
      <c r="Q27" s="150"/>
      <c r="R27" s="150"/>
    </row>
    <row r="28" spans="1:20" s="151" customFormat="1" ht="60" customHeight="1" x14ac:dyDescent="0.25">
      <c r="A28" s="153" t="s">
        <v>232</v>
      </c>
      <c r="B28" s="55" t="s">
        <v>142</v>
      </c>
      <c r="C28" s="10" t="s">
        <v>5</v>
      </c>
      <c r="D28" s="154" t="s">
        <v>233</v>
      </c>
      <c r="E28" s="155" t="s">
        <v>234</v>
      </c>
      <c r="F28" s="10" t="s">
        <v>235</v>
      </c>
      <c r="G28" s="156" t="s">
        <v>236</v>
      </c>
      <c r="H28" s="12" t="s">
        <v>237</v>
      </c>
      <c r="I28" s="156" t="s">
        <v>251</v>
      </c>
      <c r="J28" s="12" t="s">
        <v>252</v>
      </c>
      <c r="K28" s="156" t="s">
        <v>253</v>
      </c>
      <c r="L28" s="10" t="s">
        <v>241</v>
      </c>
      <c r="M28" s="12" t="s">
        <v>254</v>
      </c>
      <c r="N28" s="156" t="s">
        <v>255</v>
      </c>
      <c r="O28" s="12" t="s">
        <v>256</v>
      </c>
      <c r="P28" s="145" t="s">
        <v>257</v>
      </c>
      <c r="Q28" s="150"/>
      <c r="R28" s="150"/>
    </row>
    <row r="29" spans="1:20" s="151" customFormat="1" ht="17.25" customHeight="1" x14ac:dyDescent="0.25">
      <c r="A29" s="139" t="s">
        <v>1</v>
      </c>
      <c r="B29" s="86" t="s">
        <v>140</v>
      </c>
      <c r="C29" s="86" t="s">
        <v>140</v>
      </c>
      <c r="D29" s="86" t="s">
        <v>140</v>
      </c>
      <c r="E29" s="288">
        <v>1102095936</v>
      </c>
      <c r="F29" s="288">
        <v>322384211</v>
      </c>
      <c r="G29" s="86" t="s">
        <v>140</v>
      </c>
      <c r="H29" s="288">
        <v>779711725</v>
      </c>
      <c r="I29" s="86" t="s">
        <v>140</v>
      </c>
      <c r="J29" s="288">
        <v>64167816</v>
      </c>
      <c r="K29" s="86" t="s">
        <v>140</v>
      </c>
      <c r="L29" s="288">
        <v>51763603</v>
      </c>
      <c r="M29" s="288">
        <v>12404213</v>
      </c>
      <c r="N29" s="86" t="s">
        <v>140</v>
      </c>
      <c r="O29" s="288">
        <v>767307512</v>
      </c>
      <c r="P29" s="86" t="s">
        <v>140</v>
      </c>
      <c r="Q29" s="150"/>
      <c r="R29" s="150"/>
    </row>
    <row r="30" spans="1:20" s="151" customFormat="1" ht="17.25" customHeight="1" x14ac:dyDescent="0.25">
      <c r="A30" s="139" t="s">
        <v>4</v>
      </c>
      <c r="B30" s="86" t="s">
        <v>140</v>
      </c>
      <c r="C30" s="86" t="s">
        <v>140</v>
      </c>
      <c r="D30" s="86" t="s">
        <v>140</v>
      </c>
      <c r="E30" s="288">
        <v>6144637872</v>
      </c>
      <c r="F30" s="288">
        <v>5315115811</v>
      </c>
      <c r="G30" s="86" t="s">
        <v>140</v>
      </c>
      <c r="H30" s="288">
        <v>829522061</v>
      </c>
      <c r="I30" s="86" t="s">
        <v>140</v>
      </c>
      <c r="J30" s="288">
        <v>195262044</v>
      </c>
      <c r="K30" s="86" t="s">
        <v>140</v>
      </c>
      <c r="L30" s="288">
        <v>143556844</v>
      </c>
      <c r="M30" s="288">
        <v>51705200</v>
      </c>
      <c r="N30" s="86" t="s">
        <v>140</v>
      </c>
      <c r="O30" s="288">
        <v>777816861</v>
      </c>
      <c r="P30" s="86" t="s">
        <v>140</v>
      </c>
      <c r="Q30" s="150"/>
      <c r="R30" s="150"/>
    </row>
    <row r="31" spans="1:20" ht="17.25" customHeight="1" x14ac:dyDescent="0.25">
      <c r="A31" s="139" t="s">
        <v>261</v>
      </c>
      <c r="B31" s="86" t="s">
        <v>140</v>
      </c>
      <c r="C31" s="86" t="s">
        <v>140</v>
      </c>
      <c r="D31" s="86" t="s">
        <v>140</v>
      </c>
      <c r="E31" s="288">
        <v>162623509</v>
      </c>
      <c r="F31" s="288">
        <v>151913713</v>
      </c>
      <c r="G31" s="86" t="s">
        <v>140</v>
      </c>
      <c r="H31" s="288">
        <v>10709796</v>
      </c>
      <c r="I31" s="86" t="s">
        <v>140</v>
      </c>
      <c r="J31" s="288">
        <v>24929129</v>
      </c>
      <c r="K31" s="86" t="s">
        <v>140</v>
      </c>
      <c r="L31" s="288">
        <v>12137711</v>
      </c>
      <c r="M31" s="288">
        <v>12791418</v>
      </c>
      <c r="N31" s="86" t="s">
        <v>140</v>
      </c>
      <c r="O31" s="288">
        <v>-2081622</v>
      </c>
      <c r="P31" s="86" t="s">
        <v>140</v>
      </c>
    </row>
    <row r="32" spans="1:20" ht="17.25" customHeight="1" x14ac:dyDescent="0.25">
      <c r="A32" s="157" t="s">
        <v>270</v>
      </c>
      <c r="B32" s="158" t="s">
        <v>140</v>
      </c>
      <c r="C32" s="87" t="s">
        <v>140</v>
      </c>
      <c r="D32" s="87" t="s">
        <v>140</v>
      </c>
      <c r="E32" s="289">
        <f>SUBTOTAL(109,schedulebgrandtotal[Program
Costs])</f>
        <v>7409357317</v>
      </c>
      <c r="F32" s="289">
        <f>SUBTOTAL(109,schedulebgrandtotal[Less: Net Payments and Offsets])</f>
        <v>5789413735</v>
      </c>
      <c r="G32" s="87" t="s">
        <v>140</v>
      </c>
      <c r="H32" s="289">
        <f>SUBTOTAL(109,schedulebgrandtotal[Accounts Payable
Balance3])</f>
        <v>1619943582</v>
      </c>
      <c r="I32" s="87" t="s">
        <v>140</v>
      </c>
      <c r="J32" s="289">
        <f>SUBTOTAL(109,schedulebgrandtotal[Established
Accounts
Receivable4])</f>
        <v>284358989</v>
      </c>
      <c r="K32" s="87" t="s">
        <v>140</v>
      </c>
      <c r="L32" s="289">
        <f>SUBTOTAL(109,schedulebgrandtotal[Less: Recovered
Amount])</f>
        <v>207458158</v>
      </c>
      <c r="M32" s="289">
        <f>SUBTOTAL(109,schedulebgrandtotal[Accounts
Receivable
Balance5])</f>
        <v>76900831</v>
      </c>
      <c r="N32" s="87" t="s">
        <v>140</v>
      </c>
      <c r="O32" s="289">
        <f>SUBTOTAL(109,schedulebgrandtotal[Net
Balance6])</f>
        <v>1543042751</v>
      </c>
      <c r="P32" s="86" t="s">
        <v>140</v>
      </c>
    </row>
    <row r="33" spans="1:15" ht="18" customHeight="1" x14ac:dyDescent="0.2">
      <c r="A33" s="139" t="s">
        <v>271</v>
      </c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</row>
    <row r="34" spans="1:15" ht="18" customHeight="1" x14ac:dyDescent="0.2">
      <c r="A34" s="159" t="s">
        <v>272</v>
      </c>
      <c r="B34" s="34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</row>
    <row r="35" spans="1:15" ht="18" customHeight="1" x14ac:dyDescent="0.2">
      <c r="A35" s="160" t="s">
        <v>273</v>
      </c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2"/>
    </row>
    <row r="36" spans="1:15" ht="18" customHeight="1" x14ac:dyDescent="0.2">
      <c r="A36" s="139" t="s">
        <v>274</v>
      </c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</row>
    <row r="37" spans="1:15" ht="18" customHeight="1" x14ac:dyDescent="0.2">
      <c r="A37" s="139" t="s">
        <v>275</v>
      </c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</row>
    <row r="38" spans="1:15" ht="18" customHeight="1" x14ac:dyDescent="0.2">
      <c r="A38" s="139" t="s">
        <v>276</v>
      </c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</row>
    <row r="39" spans="1:15" ht="18" customHeight="1" x14ac:dyDescent="0.2">
      <c r="A39" s="139" t="s">
        <v>277</v>
      </c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</row>
    <row r="40" spans="1:15" ht="18" customHeight="1" x14ac:dyDescent="0.2">
      <c r="A40" s="160" t="s">
        <v>278</v>
      </c>
      <c r="B40" s="163"/>
      <c r="C40" s="163"/>
      <c r="D40" s="163"/>
      <c r="E40" s="163"/>
      <c r="F40" s="163"/>
      <c r="G40" s="163"/>
      <c r="H40" s="163"/>
      <c r="I40" s="163"/>
      <c r="J40" s="163"/>
      <c r="K40" s="163"/>
      <c r="L40" s="163"/>
      <c r="M40" s="163"/>
      <c r="N40" s="163"/>
      <c r="O40" s="163"/>
    </row>
    <row r="41" spans="1:15" ht="18" customHeight="1" x14ac:dyDescent="0.2">
      <c r="A41" s="160" t="s">
        <v>279</v>
      </c>
      <c r="B41" s="164"/>
      <c r="C41" s="164"/>
      <c r="D41" s="165"/>
      <c r="E41" s="165"/>
      <c r="F41" s="165"/>
      <c r="G41" s="165"/>
      <c r="H41" s="165"/>
      <c r="I41" s="165"/>
      <c r="J41" s="165"/>
      <c r="K41" s="165"/>
      <c r="L41" s="165"/>
      <c r="M41" s="165"/>
      <c r="N41" s="165"/>
      <c r="O41" s="164"/>
    </row>
    <row r="42" spans="1:15" x14ac:dyDescent="0.2">
      <c r="A42" s="13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</row>
    <row r="43" spans="1:15" x14ac:dyDescent="0.2">
      <c r="A43" s="166"/>
      <c r="B43" s="13"/>
      <c r="C43" s="143"/>
      <c r="D43" s="143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</row>
    <row r="44" spans="1:15" x14ac:dyDescent="0.2">
      <c r="A44" s="166"/>
      <c r="B44" s="13"/>
      <c r="C44" s="143"/>
      <c r="D44" s="143"/>
      <c r="E44" s="81"/>
      <c r="F44" s="81"/>
      <c r="G44" s="81"/>
      <c r="H44" s="81"/>
      <c r="I44" s="81"/>
      <c r="J44" s="81"/>
      <c r="K44" s="81"/>
      <c r="L44" s="81"/>
      <c r="M44" s="81"/>
      <c r="N44" s="81"/>
    </row>
    <row r="45" spans="1:15" x14ac:dyDescent="0.2">
      <c r="A45" s="166"/>
      <c r="B45" s="13"/>
      <c r="C45" s="143"/>
      <c r="D45" s="143"/>
      <c r="E45" s="81"/>
      <c r="F45" s="81"/>
      <c r="G45" s="81"/>
      <c r="H45" s="81"/>
      <c r="I45" s="81"/>
      <c r="J45" s="81"/>
      <c r="K45" s="81"/>
      <c r="L45" s="81"/>
      <c r="M45" s="81"/>
      <c r="N45" s="81"/>
    </row>
    <row r="46" spans="1:15" x14ac:dyDescent="0.2">
      <c r="A46" s="166"/>
      <c r="B46" s="13"/>
      <c r="C46" s="143"/>
      <c r="D46" s="143"/>
      <c r="E46" s="81"/>
      <c r="F46" s="81"/>
      <c r="G46" s="81"/>
      <c r="H46" s="81"/>
      <c r="I46" s="81"/>
      <c r="J46" s="81"/>
      <c r="K46" s="81"/>
      <c r="L46" s="81"/>
      <c r="M46" s="81"/>
      <c r="N46" s="81"/>
    </row>
    <row r="47" spans="1:15" x14ac:dyDescent="0.2">
      <c r="A47" s="166"/>
      <c r="B47" s="13"/>
      <c r="C47" s="143"/>
      <c r="D47" s="143"/>
      <c r="E47" s="81"/>
      <c r="F47" s="81"/>
      <c r="G47" s="81"/>
      <c r="H47" s="81"/>
      <c r="I47" s="81"/>
      <c r="J47" s="81"/>
      <c r="K47" s="81"/>
      <c r="L47" s="81"/>
      <c r="M47" s="81"/>
      <c r="N47" s="81"/>
    </row>
    <row r="48" spans="1:15" x14ac:dyDescent="0.2">
      <c r="A48" s="166"/>
      <c r="B48" s="13"/>
      <c r="C48" s="143"/>
      <c r="D48" s="143"/>
      <c r="E48" s="81"/>
      <c r="F48" s="81"/>
      <c r="G48" s="81"/>
      <c r="H48" s="81"/>
      <c r="I48" s="81"/>
      <c r="J48" s="81"/>
      <c r="K48" s="81"/>
      <c r="L48" s="81"/>
      <c r="M48" s="81"/>
      <c r="N48" s="81"/>
    </row>
    <row r="49" spans="1:14" x14ac:dyDescent="0.2">
      <c r="A49" s="166"/>
      <c r="B49" s="13"/>
      <c r="C49" s="143"/>
      <c r="D49" s="143"/>
      <c r="E49" s="81"/>
      <c r="F49" s="81"/>
      <c r="G49" s="81"/>
      <c r="H49" s="81"/>
      <c r="I49" s="81"/>
      <c r="J49" s="81"/>
      <c r="K49" s="81"/>
      <c r="L49" s="81"/>
      <c r="M49" s="81"/>
      <c r="N49" s="81"/>
    </row>
    <row r="50" spans="1:14" x14ac:dyDescent="0.2">
      <c r="A50" s="166"/>
      <c r="B50" s="13"/>
      <c r="C50" s="143"/>
      <c r="D50" s="143"/>
      <c r="E50" s="81"/>
      <c r="F50" s="81"/>
      <c r="G50" s="81"/>
      <c r="H50" s="81"/>
      <c r="I50" s="81"/>
      <c r="J50" s="81"/>
      <c r="K50" s="81"/>
      <c r="L50" s="81"/>
      <c r="M50" s="81"/>
      <c r="N50" s="81"/>
    </row>
    <row r="51" spans="1:14" x14ac:dyDescent="0.2">
      <c r="A51" s="166"/>
      <c r="B51" s="13"/>
      <c r="C51" s="143"/>
      <c r="D51" s="143"/>
      <c r="E51" s="81"/>
      <c r="F51" s="81"/>
      <c r="G51" s="81"/>
      <c r="H51" s="81"/>
      <c r="I51" s="81"/>
      <c r="J51" s="81"/>
      <c r="K51" s="81"/>
      <c r="L51" s="81"/>
      <c r="M51" s="81"/>
      <c r="N51" s="81"/>
    </row>
    <row r="52" spans="1:14" x14ac:dyDescent="0.2">
      <c r="A52" s="166"/>
      <c r="B52" s="13"/>
      <c r="C52" s="143"/>
      <c r="D52" s="143"/>
      <c r="E52" s="81"/>
      <c r="F52" s="81"/>
      <c r="G52" s="81"/>
      <c r="H52" s="81"/>
      <c r="I52" s="81"/>
      <c r="J52" s="81"/>
      <c r="K52" s="81"/>
      <c r="L52" s="81"/>
      <c r="M52" s="81"/>
      <c r="N52" s="81"/>
    </row>
    <row r="53" spans="1:14" x14ac:dyDescent="0.2">
      <c r="A53" s="166"/>
      <c r="B53" s="13"/>
      <c r="C53" s="143"/>
      <c r="D53" s="143"/>
      <c r="E53" s="81"/>
      <c r="F53" s="81"/>
      <c r="G53" s="81"/>
      <c r="H53" s="81"/>
      <c r="I53" s="81"/>
      <c r="J53" s="81"/>
      <c r="K53" s="81"/>
      <c r="L53" s="81"/>
      <c r="M53" s="81"/>
      <c r="N53" s="81"/>
    </row>
    <row r="54" spans="1:14" x14ac:dyDescent="0.2">
      <c r="A54" s="166"/>
      <c r="B54" s="13"/>
      <c r="C54" s="143"/>
      <c r="D54" s="143"/>
      <c r="E54" s="81"/>
      <c r="F54" s="81"/>
      <c r="G54" s="81"/>
      <c r="H54" s="81"/>
      <c r="I54" s="81"/>
      <c r="J54" s="81"/>
      <c r="K54" s="81"/>
      <c r="L54" s="81"/>
      <c r="M54" s="81"/>
      <c r="N54" s="81"/>
    </row>
    <row r="55" spans="1:14" x14ac:dyDescent="0.2">
      <c r="A55" s="166"/>
      <c r="B55" s="13"/>
      <c r="C55" s="143"/>
      <c r="D55" s="143"/>
      <c r="E55" s="81"/>
      <c r="F55" s="81"/>
      <c r="G55" s="81"/>
      <c r="H55" s="81"/>
      <c r="I55" s="81"/>
      <c r="J55" s="81"/>
      <c r="K55" s="81"/>
      <c r="L55" s="81"/>
      <c r="M55" s="81"/>
      <c r="N55" s="81"/>
    </row>
    <row r="56" spans="1:14" x14ac:dyDescent="0.2">
      <c r="A56" s="166"/>
      <c r="B56" s="13"/>
      <c r="C56" s="143"/>
      <c r="D56" s="143"/>
      <c r="E56" s="81"/>
      <c r="F56" s="81"/>
      <c r="G56" s="81"/>
      <c r="H56" s="81"/>
      <c r="I56" s="81"/>
      <c r="J56" s="81"/>
      <c r="K56" s="81"/>
      <c r="L56" s="81"/>
      <c r="M56" s="81"/>
      <c r="N56" s="81"/>
    </row>
    <row r="57" spans="1:14" x14ac:dyDescent="0.2">
      <c r="A57" s="166"/>
      <c r="B57" s="13"/>
      <c r="C57" s="143"/>
      <c r="D57" s="143"/>
      <c r="E57" s="81"/>
      <c r="F57" s="81"/>
      <c r="G57" s="81"/>
      <c r="H57" s="81"/>
      <c r="I57" s="81"/>
      <c r="J57" s="81"/>
      <c r="K57" s="81"/>
      <c r="L57" s="81"/>
      <c r="M57" s="81"/>
      <c r="N57" s="81"/>
    </row>
    <row r="58" spans="1:14" x14ac:dyDescent="0.2">
      <c r="A58" s="166"/>
      <c r="B58" s="13"/>
      <c r="C58" s="143"/>
      <c r="D58" s="143"/>
      <c r="E58" s="81"/>
      <c r="F58" s="81"/>
      <c r="G58" s="81"/>
      <c r="H58" s="81"/>
      <c r="I58" s="81"/>
      <c r="J58" s="81"/>
      <c r="K58" s="81"/>
      <c r="L58" s="81"/>
      <c r="M58" s="81"/>
      <c r="N58" s="81"/>
    </row>
    <row r="59" spans="1:14" x14ac:dyDescent="0.2">
      <c r="A59" s="166"/>
      <c r="B59" s="13"/>
      <c r="C59" s="143"/>
      <c r="D59" s="143"/>
      <c r="E59" s="81"/>
      <c r="F59" s="81"/>
      <c r="G59" s="81"/>
      <c r="H59" s="81"/>
      <c r="I59" s="81"/>
      <c r="J59" s="81"/>
      <c r="K59" s="81"/>
      <c r="L59" s="81"/>
      <c r="M59" s="81"/>
      <c r="N59" s="81"/>
    </row>
    <row r="60" spans="1:14" x14ac:dyDescent="0.2">
      <c r="A60" s="166"/>
      <c r="B60" s="13"/>
      <c r="C60" s="143"/>
      <c r="D60" s="143"/>
      <c r="E60" s="81"/>
      <c r="F60" s="81"/>
      <c r="G60" s="81"/>
      <c r="H60" s="81"/>
      <c r="I60" s="81"/>
      <c r="J60" s="81"/>
      <c r="K60" s="81"/>
      <c r="L60" s="81"/>
      <c r="M60" s="81"/>
      <c r="N60" s="81"/>
    </row>
    <row r="61" spans="1:14" x14ac:dyDescent="0.2">
      <c r="A61" s="166"/>
      <c r="B61" s="13"/>
      <c r="C61" s="143"/>
      <c r="D61" s="143"/>
      <c r="E61" s="81"/>
      <c r="F61" s="81"/>
      <c r="G61" s="81"/>
      <c r="H61" s="81"/>
      <c r="I61" s="81"/>
      <c r="J61" s="81"/>
      <c r="K61" s="81"/>
      <c r="L61" s="81"/>
      <c r="M61" s="81"/>
      <c r="N61" s="81"/>
    </row>
    <row r="62" spans="1:14" x14ac:dyDescent="0.2">
      <c r="A62" s="166"/>
      <c r="B62" s="13"/>
      <c r="C62" s="143"/>
      <c r="D62" s="143"/>
      <c r="E62" s="81"/>
      <c r="F62" s="81"/>
      <c r="G62" s="81"/>
      <c r="H62" s="81"/>
      <c r="I62" s="81"/>
      <c r="J62" s="81"/>
      <c r="K62" s="81"/>
      <c r="L62" s="81"/>
      <c r="M62" s="81"/>
      <c r="N62" s="81"/>
    </row>
    <row r="63" spans="1:14" x14ac:dyDescent="0.2">
      <c r="A63" s="166"/>
      <c r="B63" s="13"/>
      <c r="C63" s="143"/>
      <c r="D63" s="143"/>
      <c r="E63" s="81"/>
      <c r="F63" s="81"/>
      <c r="G63" s="81"/>
      <c r="H63" s="81"/>
      <c r="I63" s="81"/>
      <c r="J63" s="81"/>
      <c r="K63" s="81"/>
      <c r="L63" s="81"/>
      <c r="M63" s="81"/>
      <c r="N63" s="81"/>
    </row>
    <row r="64" spans="1:14" x14ac:dyDescent="0.2">
      <c r="A64" s="166"/>
      <c r="B64" s="13"/>
      <c r="C64" s="143"/>
      <c r="D64" s="143"/>
      <c r="E64" s="81"/>
      <c r="F64" s="81"/>
      <c r="G64" s="81"/>
      <c r="H64" s="81"/>
      <c r="I64" s="81"/>
      <c r="J64" s="81"/>
      <c r="K64" s="81"/>
      <c r="L64" s="81"/>
      <c r="M64" s="81"/>
      <c r="N64" s="81"/>
    </row>
    <row r="65" spans="1:14" x14ac:dyDescent="0.2">
      <c r="A65" s="166"/>
      <c r="B65" s="13"/>
      <c r="C65" s="143"/>
      <c r="D65" s="143"/>
      <c r="E65" s="81"/>
      <c r="F65" s="81"/>
      <c r="G65" s="81"/>
      <c r="H65" s="81"/>
      <c r="I65" s="81"/>
      <c r="J65" s="81"/>
      <c r="K65" s="81"/>
      <c r="L65" s="81"/>
      <c r="M65" s="81"/>
      <c r="N65" s="81"/>
    </row>
    <row r="66" spans="1:14" x14ac:dyDescent="0.2">
      <c r="A66" s="166"/>
      <c r="B66" s="13"/>
      <c r="C66" s="143"/>
      <c r="D66" s="143"/>
      <c r="E66" s="81"/>
      <c r="F66" s="81"/>
      <c r="G66" s="81"/>
      <c r="H66" s="81"/>
      <c r="I66" s="81"/>
      <c r="J66" s="81"/>
      <c r="K66" s="81"/>
      <c r="L66" s="81"/>
      <c r="M66" s="81"/>
      <c r="N66" s="81"/>
    </row>
    <row r="67" spans="1:14" x14ac:dyDescent="0.2">
      <c r="A67" s="166"/>
      <c r="B67" s="13"/>
      <c r="C67" s="143"/>
      <c r="D67" s="143"/>
      <c r="E67" s="81"/>
      <c r="F67" s="81"/>
      <c r="G67" s="81"/>
      <c r="H67" s="81"/>
      <c r="I67" s="81"/>
      <c r="J67" s="81"/>
      <c r="K67" s="81"/>
      <c r="L67" s="81"/>
      <c r="M67" s="81"/>
      <c r="N67" s="81"/>
    </row>
    <row r="68" spans="1:14" x14ac:dyDescent="0.2">
      <c r="A68" s="166"/>
      <c r="B68" s="13"/>
      <c r="C68" s="143"/>
      <c r="D68" s="143"/>
      <c r="E68" s="81"/>
      <c r="F68" s="81"/>
      <c r="G68" s="81"/>
      <c r="H68" s="81"/>
      <c r="I68" s="81"/>
      <c r="J68" s="81"/>
      <c r="K68" s="81"/>
      <c r="L68" s="81"/>
      <c r="M68" s="81"/>
      <c r="N68" s="81"/>
    </row>
    <row r="69" spans="1:14" x14ac:dyDescent="0.2">
      <c r="A69" s="166"/>
      <c r="B69" s="13"/>
      <c r="C69" s="143"/>
      <c r="D69" s="143"/>
      <c r="E69" s="81"/>
      <c r="F69" s="81"/>
      <c r="G69" s="81"/>
      <c r="H69" s="81"/>
      <c r="I69" s="81"/>
      <c r="J69" s="81"/>
      <c r="K69" s="81"/>
      <c r="L69" s="81"/>
      <c r="M69" s="81"/>
      <c r="N69" s="81"/>
    </row>
    <row r="70" spans="1:14" x14ac:dyDescent="0.2">
      <c r="A70" s="166"/>
      <c r="B70" s="13"/>
      <c r="C70" s="143"/>
      <c r="D70" s="143"/>
      <c r="E70" s="81"/>
      <c r="F70" s="81"/>
      <c r="G70" s="81"/>
      <c r="H70" s="81"/>
      <c r="I70" s="81"/>
      <c r="J70" s="81"/>
      <c r="K70" s="81"/>
      <c r="L70" s="81"/>
      <c r="M70" s="81"/>
      <c r="N70" s="81"/>
    </row>
    <row r="71" spans="1:14" x14ac:dyDescent="0.2">
      <c r="A71" s="166"/>
      <c r="B71" s="13"/>
      <c r="C71" s="143"/>
      <c r="D71" s="143"/>
      <c r="E71" s="81"/>
      <c r="F71" s="81"/>
      <c r="G71" s="81"/>
      <c r="H71" s="81"/>
      <c r="I71" s="81"/>
      <c r="J71" s="81"/>
      <c r="K71" s="81"/>
      <c r="L71" s="81"/>
      <c r="M71" s="81"/>
      <c r="N71" s="81"/>
    </row>
    <row r="72" spans="1:14" x14ac:dyDescent="0.2">
      <c r="A72" s="166"/>
      <c r="B72" s="13"/>
      <c r="C72" s="143"/>
      <c r="D72" s="143"/>
      <c r="E72" s="81"/>
      <c r="F72" s="81"/>
      <c r="G72" s="81"/>
      <c r="H72" s="81"/>
      <c r="I72" s="81"/>
      <c r="J72" s="81"/>
      <c r="K72" s="81"/>
      <c r="L72" s="81"/>
      <c r="M72" s="81"/>
      <c r="N72" s="81"/>
    </row>
    <row r="73" spans="1:14" x14ac:dyDescent="0.2">
      <c r="A73" s="166"/>
      <c r="B73" s="13"/>
      <c r="C73" s="143"/>
      <c r="D73" s="143"/>
      <c r="E73" s="81"/>
      <c r="F73" s="81"/>
      <c r="G73" s="81"/>
      <c r="H73" s="81"/>
      <c r="I73" s="81"/>
      <c r="J73" s="81"/>
      <c r="K73" s="81"/>
      <c r="L73" s="81"/>
      <c r="M73" s="81"/>
      <c r="N73" s="81"/>
    </row>
    <row r="74" spans="1:14" x14ac:dyDescent="0.2">
      <c r="A74" s="166"/>
      <c r="B74" s="13"/>
      <c r="C74" s="143"/>
      <c r="D74" s="143"/>
      <c r="E74" s="81"/>
      <c r="F74" s="81"/>
      <c r="G74" s="81"/>
      <c r="H74" s="81"/>
      <c r="I74" s="81"/>
      <c r="J74" s="81"/>
      <c r="K74" s="81"/>
      <c r="L74" s="81"/>
      <c r="M74" s="81"/>
      <c r="N74" s="81"/>
    </row>
    <row r="75" spans="1:14" x14ac:dyDescent="0.2">
      <c r="A75" s="166"/>
      <c r="B75" s="13"/>
      <c r="C75" s="143"/>
      <c r="D75" s="143"/>
      <c r="E75" s="81"/>
      <c r="F75" s="81"/>
      <c r="G75" s="81"/>
      <c r="H75" s="81"/>
      <c r="I75" s="81"/>
      <c r="J75" s="81"/>
      <c r="K75" s="81"/>
      <c r="L75" s="81"/>
      <c r="M75" s="81"/>
      <c r="N75" s="81"/>
    </row>
    <row r="76" spans="1:14" x14ac:dyDescent="0.2">
      <c r="A76" s="166"/>
      <c r="B76" s="13"/>
      <c r="C76" s="143"/>
      <c r="D76" s="143"/>
      <c r="E76" s="81"/>
      <c r="F76" s="81"/>
      <c r="G76" s="81"/>
      <c r="H76" s="81"/>
      <c r="I76" s="81"/>
      <c r="J76" s="81"/>
      <c r="K76" s="81"/>
      <c r="L76" s="81"/>
      <c r="M76" s="81"/>
      <c r="N76" s="81"/>
    </row>
    <row r="77" spans="1:14" x14ac:dyDescent="0.2">
      <c r="A77" s="166"/>
      <c r="B77" s="13"/>
      <c r="C77" s="143"/>
      <c r="D77" s="143"/>
      <c r="E77" s="81"/>
      <c r="F77" s="81"/>
      <c r="G77" s="81"/>
      <c r="H77" s="81"/>
      <c r="I77" s="81"/>
      <c r="J77" s="81"/>
      <c r="K77" s="81"/>
      <c r="L77" s="81"/>
      <c r="M77" s="81"/>
      <c r="N77" s="81"/>
    </row>
    <row r="78" spans="1:14" x14ac:dyDescent="0.2">
      <c r="A78" s="166"/>
      <c r="B78" s="13"/>
      <c r="C78" s="143"/>
      <c r="D78" s="143"/>
      <c r="E78" s="81"/>
      <c r="F78" s="81"/>
      <c r="G78" s="81"/>
      <c r="H78" s="81"/>
      <c r="I78" s="81"/>
      <c r="J78" s="81"/>
      <c r="K78" s="81"/>
      <c r="L78" s="81"/>
      <c r="M78" s="81"/>
      <c r="N78" s="81"/>
    </row>
    <row r="79" spans="1:14" x14ac:dyDescent="0.2">
      <c r="A79" s="166"/>
      <c r="B79" s="13"/>
      <c r="C79" s="143"/>
      <c r="D79" s="143"/>
      <c r="E79" s="81"/>
      <c r="F79" s="81"/>
      <c r="G79" s="81"/>
      <c r="H79" s="81"/>
      <c r="I79" s="81"/>
      <c r="J79" s="81"/>
      <c r="K79" s="81"/>
      <c r="L79" s="81"/>
      <c r="M79" s="81"/>
      <c r="N79" s="81"/>
    </row>
    <row r="80" spans="1:14" x14ac:dyDescent="0.2">
      <c r="A80" s="166"/>
      <c r="B80" s="13"/>
      <c r="C80" s="143"/>
      <c r="D80" s="143"/>
      <c r="E80" s="81"/>
      <c r="F80" s="81"/>
      <c r="G80" s="81"/>
      <c r="H80" s="81"/>
      <c r="I80" s="81"/>
      <c r="J80" s="81"/>
      <c r="K80" s="81"/>
      <c r="L80" s="81"/>
      <c r="M80" s="81"/>
      <c r="N80" s="81"/>
    </row>
    <row r="81" spans="1:14" x14ac:dyDescent="0.2">
      <c r="A81" s="166"/>
      <c r="B81" s="13"/>
      <c r="C81" s="143"/>
      <c r="D81" s="143"/>
      <c r="E81" s="81"/>
      <c r="F81" s="81"/>
      <c r="G81" s="81"/>
      <c r="H81" s="81"/>
      <c r="I81" s="81"/>
      <c r="J81" s="81"/>
      <c r="K81" s="81"/>
      <c r="L81" s="81"/>
      <c r="M81" s="81"/>
      <c r="N81" s="81"/>
    </row>
    <row r="82" spans="1:14" x14ac:dyDescent="0.2">
      <c r="A82" s="166"/>
      <c r="B82" s="13"/>
      <c r="C82" s="143"/>
      <c r="D82" s="143"/>
      <c r="E82" s="81"/>
      <c r="F82" s="81"/>
      <c r="G82" s="81"/>
      <c r="H82" s="81"/>
      <c r="I82" s="81"/>
      <c r="J82" s="81"/>
      <c r="K82" s="81"/>
      <c r="L82" s="81"/>
      <c r="M82" s="81"/>
      <c r="N82" s="81"/>
    </row>
    <row r="83" spans="1:14" x14ac:dyDescent="0.2">
      <c r="A83" s="166"/>
      <c r="B83" s="13"/>
      <c r="C83" s="143"/>
      <c r="D83" s="143"/>
      <c r="E83" s="81"/>
      <c r="F83" s="81"/>
      <c r="G83" s="81"/>
      <c r="H83" s="81"/>
      <c r="I83" s="81"/>
      <c r="J83" s="81"/>
      <c r="K83" s="81"/>
      <c r="L83" s="81"/>
      <c r="M83" s="81"/>
      <c r="N83" s="81"/>
    </row>
    <row r="84" spans="1:14" x14ac:dyDescent="0.2">
      <c r="A84" s="166"/>
      <c r="B84" s="13"/>
      <c r="C84" s="143"/>
      <c r="D84" s="143"/>
      <c r="E84" s="81"/>
      <c r="F84" s="81"/>
      <c r="G84" s="81"/>
      <c r="H84" s="81"/>
      <c r="I84" s="81"/>
      <c r="J84" s="81"/>
      <c r="K84" s="81"/>
      <c r="L84" s="81"/>
      <c r="M84" s="81"/>
      <c r="N84" s="81"/>
    </row>
    <row r="85" spans="1:14" x14ac:dyDescent="0.2">
      <c r="A85" s="166"/>
      <c r="B85" s="13"/>
      <c r="C85" s="143"/>
      <c r="D85" s="143"/>
      <c r="E85" s="81"/>
      <c r="F85" s="81"/>
      <c r="G85" s="81"/>
      <c r="H85" s="81"/>
      <c r="I85" s="81"/>
      <c r="J85" s="81"/>
      <c r="K85" s="81"/>
      <c r="L85" s="81"/>
      <c r="M85" s="81"/>
      <c r="N85" s="81"/>
    </row>
    <row r="86" spans="1:14" x14ac:dyDescent="0.2">
      <c r="A86" s="166"/>
      <c r="B86" s="13"/>
      <c r="C86" s="143"/>
      <c r="D86" s="143"/>
      <c r="E86" s="81"/>
      <c r="F86" s="81"/>
      <c r="G86" s="81"/>
      <c r="H86" s="81"/>
      <c r="I86" s="81"/>
      <c r="J86" s="81"/>
      <c r="K86" s="81"/>
      <c r="L86" s="81"/>
      <c r="M86" s="81"/>
      <c r="N86" s="81"/>
    </row>
    <row r="87" spans="1:14" x14ac:dyDescent="0.2">
      <c r="A87" s="166"/>
      <c r="B87" s="13"/>
      <c r="C87" s="143"/>
      <c r="D87" s="143"/>
      <c r="E87" s="81"/>
      <c r="F87" s="81"/>
      <c r="G87" s="81"/>
      <c r="H87" s="81"/>
      <c r="I87" s="81"/>
      <c r="J87" s="81"/>
      <c r="K87" s="81"/>
      <c r="L87" s="81"/>
      <c r="M87" s="81"/>
      <c r="N87" s="81"/>
    </row>
    <row r="88" spans="1:14" x14ac:dyDescent="0.2">
      <c r="A88" s="166"/>
      <c r="B88" s="13"/>
      <c r="C88" s="143"/>
      <c r="D88" s="143"/>
      <c r="E88" s="81"/>
      <c r="F88" s="81"/>
      <c r="G88" s="81"/>
      <c r="H88" s="81"/>
      <c r="I88" s="81"/>
      <c r="J88" s="81"/>
      <c r="K88" s="81"/>
      <c r="L88" s="81"/>
      <c r="M88" s="81"/>
      <c r="N88" s="81"/>
    </row>
    <row r="89" spans="1:14" x14ac:dyDescent="0.2">
      <c r="A89" s="166"/>
      <c r="B89" s="13"/>
      <c r="C89" s="143"/>
      <c r="D89" s="143"/>
      <c r="E89" s="81"/>
      <c r="F89" s="81"/>
      <c r="G89" s="81"/>
      <c r="H89" s="81"/>
      <c r="I89" s="81"/>
      <c r="J89" s="81"/>
      <c r="K89" s="81"/>
      <c r="L89" s="81"/>
      <c r="M89" s="81"/>
      <c r="N89" s="81"/>
    </row>
    <row r="90" spans="1:14" x14ac:dyDescent="0.2">
      <c r="A90" s="166"/>
      <c r="B90" s="13"/>
      <c r="C90" s="143"/>
      <c r="D90" s="143"/>
      <c r="E90" s="81"/>
      <c r="F90" s="81"/>
      <c r="G90" s="81"/>
      <c r="H90" s="81"/>
      <c r="I90" s="81"/>
      <c r="J90" s="81"/>
      <c r="K90" s="81"/>
      <c r="L90" s="81"/>
      <c r="M90" s="81"/>
      <c r="N90" s="81"/>
    </row>
    <row r="91" spans="1:14" x14ac:dyDescent="0.2">
      <c r="A91" s="166"/>
      <c r="B91" s="13"/>
      <c r="C91" s="143"/>
      <c r="D91" s="143"/>
      <c r="E91" s="81"/>
      <c r="F91" s="81"/>
      <c r="G91" s="81"/>
      <c r="H91" s="81"/>
      <c r="I91" s="81"/>
      <c r="J91" s="81"/>
      <c r="K91" s="81"/>
      <c r="L91" s="81"/>
      <c r="M91" s="81"/>
      <c r="N91" s="81"/>
    </row>
    <row r="92" spans="1:14" x14ac:dyDescent="0.2">
      <c r="A92" s="166"/>
      <c r="B92" s="13"/>
      <c r="C92" s="143"/>
      <c r="D92" s="143"/>
      <c r="E92" s="81"/>
      <c r="F92" s="81"/>
      <c r="G92" s="81"/>
      <c r="H92" s="81"/>
      <c r="I92" s="81"/>
      <c r="J92" s="81"/>
      <c r="K92" s="81"/>
      <c r="L92" s="81"/>
      <c r="M92" s="81"/>
      <c r="N92" s="81"/>
    </row>
    <row r="93" spans="1:14" x14ac:dyDescent="0.2">
      <c r="A93" s="166"/>
      <c r="B93" s="13"/>
      <c r="C93" s="143"/>
      <c r="D93" s="143"/>
      <c r="E93" s="81"/>
      <c r="F93" s="81"/>
      <c r="G93" s="81"/>
      <c r="H93" s="81"/>
      <c r="I93" s="81"/>
      <c r="J93" s="81"/>
      <c r="K93" s="81"/>
      <c r="L93" s="81"/>
      <c r="M93" s="81"/>
      <c r="N93" s="81"/>
    </row>
    <row r="94" spans="1:14" x14ac:dyDescent="0.2">
      <c r="A94" s="166"/>
      <c r="B94" s="13"/>
      <c r="C94" s="143"/>
      <c r="D94" s="143"/>
      <c r="E94" s="81"/>
      <c r="F94" s="81"/>
      <c r="G94" s="81"/>
      <c r="H94" s="81"/>
      <c r="I94" s="81"/>
      <c r="J94" s="81"/>
      <c r="K94" s="81"/>
      <c r="L94" s="81"/>
      <c r="M94" s="81"/>
      <c r="N94" s="81"/>
    </row>
    <row r="95" spans="1:14" x14ac:dyDescent="0.2">
      <c r="A95" s="166"/>
      <c r="B95" s="13"/>
      <c r="C95" s="143"/>
      <c r="D95" s="143"/>
      <c r="E95" s="81"/>
      <c r="F95" s="81"/>
      <c r="G95" s="81"/>
      <c r="H95" s="81"/>
      <c r="I95" s="81"/>
      <c r="J95" s="81"/>
      <c r="K95" s="81"/>
      <c r="L95" s="81"/>
      <c r="M95" s="81"/>
      <c r="N95" s="81"/>
    </row>
    <row r="96" spans="1:14" x14ac:dyDescent="0.2">
      <c r="A96" s="166"/>
      <c r="B96" s="13"/>
      <c r="C96" s="143"/>
      <c r="D96" s="143"/>
      <c r="E96" s="81"/>
      <c r="F96" s="81"/>
      <c r="G96" s="81"/>
      <c r="H96" s="81"/>
      <c r="I96" s="81"/>
      <c r="J96" s="81"/>
      <c r="K96" s="81"/>
      <c r="L96" s="81"/>
      <c r="M96" s="81"/>
      <c r="N96" s="81"/>
    </row>
    <row r="97" spans="1:14" x14ac:dyDescent="0.2">
      <c r="A97" s="166"/>
      <c r="B97" s="13"/>
      <c r="C97" s="143"/>
      <c r="D97" s="143"/>
      <c r="E97" s="81"/>
      <c r="F97" s="81"/>
      <c r="G97" s="81"/>
      <c r="H97" s="81"/>
      <c r="I97" s="81"/>
      <c r="J97" s="81"/>
      <c r="K97" s="81"/>
      <c r="L97" s="81"/>
      <c r="M97" s="81"/>
      <c r="N97" s="81"/>
    </row>
    <row r="98" spans="1:14" x14ac:dyDescent="0.2">
      <c r="A98" s="166"/>
      <c r="B98" s="13"/>
      <c r="C98" s="143"/>
      <c r="D98" s="143"/>
      <c r="E98" s="81"/>
      <c r="F98" s="81"/>
      <c r="G98" s="81"/>
      <c r="H98" s="81"/>
      <c r="I98" s="81"/>
      <c r="J98" s="81"/>
      <c r="K98" s="81"/>
      <c r="L98" s="81"/>
      <c r="M98" s="81"/>
      <c r="N98" s="81"/>
    </row>
    <row r="99" spans="1:14" x14ac:dyDescent="0.2">
      <c r="A99" s="166"/>
      <c r="B99" s="13"/>
      <c r="C99" s="143"/>
      <c r="D99" s="143"/>
      <c r="E99" s="81"/>
      <c r="F99" s="81"/>
      <c r="G99" s="81"/>
      <c r="H99" s="81"/>
      <c r="I99" s="81"/>
      <c r="J99" s="81"/>
      <c r="K99" s="81"/>
      <c r="L99" s="81"/>
      <c r="M99" s="81"/>
      <c r="N99" s="81"/>
    </row>
    <row r="100" spans="1:14" x14ac:dyDescent="0.2">
      <c r="A100" s="166"/>
      <c r="B100" s="13"/>
      <c r="C100" s="143"/>
      <c r="D100" s="143"/>
      <c r="E100" s="81"/>
      <c r="F100" s="81"/>
      <c r="G100" s="81"/>
      <c r="H100" s="81"/>
      <c r="I100" s="81"/>
      <c r="J100" s="81"/>
      <c r="K100" s="81"/>
      <c r="L100" s="81"/>
      <c r="M100" s="81"/>
      <c r="N100" s="81"/>
    </row>
    <row r="101" spans="1:14" x14ac:dyDescent="0.2">
      <c r="A101" s="166"/>
      <c r="B101" s="13"/>
      <c r="C101" s="143"/>
      <c r="D101" s="143"/>
      <c r="E101" s="81"/>
      <c r="F101" s="81"/>
      <c r="G101" s="81"/>
      <c r="H101" s="81"/>
      <c r="I101" s="81"/>
      <c r="J101" s="81"/>
      <c r="K101" s="81"/>
      <c r="L101" s="81"/>
      <c r="M101" s="81"/>
      <c r="N101" s="81"/>
    </row>
    <row r="102" spans="1:14" x14ac:dyDescent="0.2">
      <c r="A102" s="166"/>
      <c r="B102" s="13"/>
      <c r="C102" s="143"/>
      <c r="D102" s="143"/>
      <c r="E102" s="81"/>
      <c r="F102" s="81"/>
      <c r="G102" s="81"/>
      <c r="H102" s="81"/>
      <c r="I102" s="81"/>
      <c r="J102" s="81"/>
      <c r="K102" s="81"/>
      <c r="L102" s="81"/>
      <c r="M102" s="81"/>
      <c r="N102" s="81"/>
    </row>
    <row r="103" spans="1:14" x14ac:dyDescent="0.2">
      <c r="A103" s="166"/>
      <c r="B103" s="13"/>
      <c r="C103" s="143"/>
      <c r="D103" s="143"/>
      <c r="E103" s="81"/>
      <c r="F103" s="81"/>
      <c r="G103" s="81"/>
      <c r="H103" s="81"/>
      <c r="I103" s="81"/>
      <c r="J103" s="81"/>
      <c r="K103" s="81"/>
      <c r="L103" s="81"/>
      <c r="M103" s="81"/>
      <c r="N103" s="81"/>
    </row>
    <row r="104" spans="1:14" x14ac:dyDescent="0.2">
      <c r="A104" s="166"/>
      <c r="B104" s="13"/>
      <c r="C104" s="143"/>
      <c r="D104" s="143"/>
      <c r="E104" s="81"/>
      <c r="F104" s="81"/>
      <c r="G104" s="81"/>
      <c r="H104" s="81"/>
      <c r="I104" s="81"/>
      <c r="J104" s="81"/>
      <c r="K104" s="81"/>
      <c r="L104" s="81"/>
      <c r="M104" s="81"/>
      <c r="N104" s="81"/>
    </row>
    <row r="105" spans="1:14" x14ac:dyDescent="0.2">
      <c r="A105" s="166"/>
      <c r="B105" s="13"/>
      <c r="C105" s="143"/>
      <c r="D105" s="143"/>
      <c r="E105" s="81"/>
      <c r="F105" s="81"/>
      <c r="G105" s="81"/>
      <c r="H105" s="81"/>
      <c r="I105" s="81"/>
      <c r="J105" s="81"/>
      <c r="K105" s="81"/>
      <c r="L105" s="81"/>
      <c r="M105" s="81"/>
      <c r="N105" s="81"/>
    </row>
    <row r="106" spans="1:14" x14ac:dyDescent="0.2">
      <c r="A106" s="166"/>
      <c r="B106" s="13"/>
      <c r="C106" s="143"/>
      <c r="D106" s="143"/>
      <c r="E106" s="81"/>
      <c r="F106" s="81"/>
      <c r="G106" s="81"/>
      <c r="H106" s="81"/>
      <c r="I106" s="81"/>
      <c r="J106" s="81"/>
      <c r="K106" s="81"/>
      <c r="L106" s="81"/>
      <c r="M106" s="81"/>
      <c r="N106" s="81"/>
    </row>
    <row r="107" spans="1:14" x14ac:dyDescent="0.2">
      <c r="A107" s="166"/>
      <c r="B107" s="13"/>
      <c r="C107" s="143"/>
      <c r="D107" s="143"/>
      <c r="E107" s="81"/>
      <c r="F107" s="81"/>
      <c r="G107" s="81"/>
      <c r="H107" s="81"/>
      <c r="I107" s="81"/>
      <c r="J107" s="81"/>
      <c r="K107" s="81"/>
      <c r="L107" s="81"/>
      <c r="M107" s="81"/>
      <c r="N107" s="81"/>
    </row>
    <row r="108" spans="1:14" x14ac:dyDescent="0.2">
      <c r="A108" s="166"/>
      <c r="B108" s="13"/>
      <c r="C108" s="143"/>
      <c r="D108" s="143"/>
      <c r="E108" s="81"/>
      <c r="F108" s="81"/>
      <c r="G108" s="81"/>
      <c r="H108" s="81"/>
      <c r="I108" s="81"/>
      <c r="J108" s="81"/>
      <c r="K108" s="81"/>
      <c r="L108" s="81"/>
      <c r="M108" s="81"/>
      <c r="N108" s="81"/>
    </row>
    <row r="109" spans="1:14" x14ac:dyDescent="0.2">
      <c r="A109" s="166"/>
      <c r="B109" s="13"/>
      <c r="C109" s="143"/>
      <c r="D109" s="143"/>
      <c r="E109" s="81"/>
      <c r="F109" s="81"/>
      <c r="G109" s="81"/>
      <c r="H109" s="81"/>
      <c r="I109" s="81"/>
      <c r="J109" s="81"/>
      <c r="K109" s="81"/>
      <c r="L109" s="81"/>
      <c r="M109" s="81"/>
      <c r="N109" s="81"/>
    </row>
    <row r="110" spans="1:14" x14ac:dyDescent="0.2">
      <c r="A110" s="166"/>
      <c r="B110" s="13"/>
      <c r="C110" s="143"/>
      <c r="D110" s="143"/>
      <c r="E110" s="81"/>
      <c r="F110" s="81"/>
      <c r="G110" s="81"/>
      <c r="H110" s="81"/>
      <c r="I110" s="81"/>
      <c r="J110" s="81"/>
      <c r="K110" s="81"/>
      <c r="L110" s="81"/>
      <c r="M110" s="81"/>
      <c r="N110" s="81"/>
    </row>
    <row r="111" spans="1:14" x14ac:dyDescent="0.2">
      <c r="A111" s="166"/>
      <c r="B111" s="13"/>
      <c r="C111" s="143"/>
      <c r="D111" s="143"/>
      <c r="E111" s="81"/>
      <c r="F111" s="81"/>
      <c r="G111" s="81"/>
      <c r="H111" s="81"/>
      <c r="I111" s="81"/>
      <c r="J111" s="81"/>
      <c r="K111" s="81"/>
      <c r="L111" s="81"/>
      <c r="M111" s="81"/>
      <c r="N111" s="81"/>
    </row>
    <row r="112" spans="1:14" x14ac:dyDescent="0.2">
      <c r="A112" s="166"/>
      <c r="B112" s="13"/>
      <c r="C112" s="143"/>
      <c r="D112" s="143"/>
      <c r="E112" s="81"/>
      <c r="F112" s="81"/>
      <c r="G112" s="81"/>
      <c r="H112" s="81"/>
      <c r="I112" s="81"/>
      <c r="J112" s="81"/>
      <c r="K112" s="81"/>
      <c r="L112" s="81"/>
      <c r="M112" s="81"/>
      <c r="N112" s="81"/>
    </row>
    <row r="113" spans="1:14" x14ac:dyDescent="0.2">
      <c r="A113" s="166"/>
      <c r="B113" s="13"/>
      <c r="C113" s="143"/>
      <c r="D113" s="143"/>
      <c r="E113" s="81"/>
      <c r="F113" s="81"/>
      <c r="G113" s="81"/>
      <c r="H113" s="81"/>
      <c r="I113" s="81"/>
      <c r="J113" s="81"/>
      <c r="K113" s="81"/>
      <c r="L113" s="81"/>
      <c r="M113" s="81"/>
      <c r="N113" s="81"/>
    </row>
    <row r="114" spans="1:14" x14ac:dyDescent="0.2">
      <c r="A114" s="166"/>
      <c r="B114" s="13"/>
      <c r="C114" s="143"/>
      <c r="D114" s="143"/>
      <c r="E114" s="81"/>
      <c r="F114" s="81"/>
      <c r="G114" s="81"/>
      <c r="H114" s="81"/>
      <c r="I114" s="81"/>
      <c r="J114" s="81"/>
      <c r="K114" s="81"/>
      <c r="L114" s="81"/>
      <c r="M114" s="81"/>
      <c r="N114" s="81"/>
    </row>
    <row r="115" spans="1:14" x14ac:dyDescent="0.2">
      <c r="A115" s="166"/>
      <c r="B115" s="13"/>
      <c r="C115" s="143"/>
      <c r="D115" s="143"/>
      <c r="E115" s="81"/>
      <c r="F115" s="81"/>
      <c r="G115" s="81"/>
      <c r="H115" s="81"/>
      <c r="I115" s="81"/>
      <c r="J115" s="81"/>
      <c r="K115" s="81"/>
      <c r="L115" s="81"/>
      <c r="M115" s="81"/>
      <c r="N115" s="81"/>
    </row>
    <row r="116" spans="1:14" x14ac:dyDescent="0.2">
      <c r="A116" s="166"/>
      <c r="B116" s="13"/>
      <c r="C116" s="143"/>
      <c r="D116" s="143"/>
      <c r="E116" s="81"/>
      <c r="F116" s="81"/>
      <c r="G116" s="81"/>
      <c r="H116" s="81"/>
      <c r="I116" s="81"/>
      <c r="J116" s="81"/>
      <c r="K116" s="81"/>
      <c r="L116" s="81"/>
      <c r="M116" s="81"/>
      <c r="N116" s="81"/>
    </row>
    <row r="117" spans="1:14" x14ac:dyDescent="0.2">
      <c r="A117" s="166"/>
      <c r="B117" s="13"/>
      <c r="C117" s="143"/>
      <c r="D117" s="143"/>
      <c r="E117" s="81"/>
      <c r="F117" s="81"/>
      <c r="G117" s="81"/>
      <c r="H117" s="81"/>
      <c r="I117" s="81"/>
      <c r="J117" s="81"/>
      <c r="K117" s="81"/>
      <c r="L117" s="81"/>
      <c r="M117" s="81"/>
      <c r="N117" s="81"/>
    </row>
    <row r="118" spans="1:14" x14ac:dyDescent="0.2">
      <c r="A118" s="166"/>
      <c r="B118" s="13"/>
      <c r="C118" s="143"/>
      <c r="D118" s="143"/>
      <c r="E118" s="81"/>
      <c r="F118" s="81"/>
      <c r="G118" s="81"/>
      <c r="H118" s="81"/>
      <c r="I118" s="81"/>
      <c r="J118" s="81"/>
      <c r="K118" s="81"/>
      <c r="L118" s="81"/>
      <c r="M118" s="81"/>
      <c r="N118" s="81"/>
    </row>
    <row r="119" spans="1:14" x14ac:dyDescent="0.2">
      <c r="A119" s="166"/>
      <c r="B119" s="13"/>
      <c r="C119" s="143"/>
      <c r="D119" s="143"/>
      <c r="E119" s="81"/>
      <c r="F119" s="81"/>
      <c r="G119" s="81"/>
      <c r="H119" s="81"/>
      <c r="I119" s="81"/>
      <c r="J119" s="81"/>
      <c r="K119" s="81"/>
      <c r="L119" s="81"/>
      <c r="M119" s="81"/>
      <c r="N119" s="81"/>
    </row>
    <row r="120" spans="1:14" x14ac:dyDescent="0.2">
      <c r="A120" s="166"/>
      <c r="B120" s="13"/>
      <c r="C120" s="143"/>
      <c r="D120" s="143"/>
      <c r="E120" s="81"/>
      <c r="F120" s="81"/>
      <c r="G120" s="81"/>
      <c r="H120" s="81"/>
      <c r="I120" s="81"/>
      <c r="J120" s="81"/>
      <c r="K120" s="81"/>
      <c r="L120" s="81"/>
      <c r="M120" s="81"/>
      <c r="N120" s="81"/>
    </row>
    <row r="121" spans="1:14" x14ac:dyDescent="0.2">
      <c r="A121" s="166"/>
      <c r="B121" s="13"/>
      <c r="C121" s="143"/>
      <c r="D121" s="143"/>
      <c r="E121" s="81"/>
      <c r="F121" s="81"/>
      <c r="G121" s="81"/>
      <c r="H121" s="81"/>
      <c r="I121" s="81"/>
      <c r="J121" s="81"/>
      <c r="K121" s="81"/>
      <c r="L121" s="81"/>
      <c r="M121" s="81"/>
      <c r="N121" s="81"/>
    </row>
    <row r="122" spans="1:14" x14ac:dyDescent="0.2">
      <c r="B122" s="13"/>
    </row>
  </sheetData>
  <hyperlinks>
    <hyperlink ref="J2" location="'Schedule B-Summary'!A33" tooltip="This hyperlink will take you to the referenced footnote-footnote 4" display="'Schedule B-Summary'!A33"/>
    <hyperlink ref="M2" location="'Schedule B-Summary'!A33" tooltip="This hyperlink will take you to the referenced footnote-footnote 5" display="'Schedule B-Summary'!A33"/>
    <hyperlink ref="O2" location="'Schedule B-Summary'!A33" tooltip="This hyperlink will take you to the referenced footnote-footnote 6" display="'Schedule B-Summary'!A33"/>
    <hyperlink ref="A17" location="'Schedule B-Summary'!A33" tooltip="This hyperlink will take you to the referenced footnote-footnote 7" display="Total Schedule B1: Funded Mandates 7"/>
    <hyperlink ref="A26" location="'Schedule B-Summary'!A33" tooltip="This hyperlink will take you to the referenced footnote-footnote 8" display="Total Schedule B2: Unfunded Mandates 7,8"/>
    <hyperlink ref="G4" location="'Schedule B-Summary'!A33" display="'Schedule B-Summary'!A33"/>
    <hyperlink ref="H2" location="'Schedule B-Summary'!A33" display="'Schedule B-Summary'!A33"/>
    <hyperlink ref="G9" location="'Schedule B-Summary'!A33" display="'Schedule B-Summary'!A33"/>
    <hyperlink ref="G10" location="'Schedule B-Summary'!A33" display="'Schedule B-Summary'!A33"/>
  </hyperlinks>
  <printOptions horizontalCentered="1" gridLines="1"/>
  <pageMargins left="0.3" right="0.3" top="0.75" bottom="0.75" header="0.3" footer="0.3"/>
  <pageSetup scale="50" fitToHeight="0" orientation="landscape" r:id="rId1"/>
  <headerFooter>
    <oddFooter>&amp;LSchedule B: Summary of Funded and Unfunded State-Mandated Programs&amp;RPage &amp;P of &amp;N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315"/>
  <sheetViews>
    <sheetView topLeftCell="F31" zoomScaleNormal="100" zoomScaleSheetLayoutView="70" zoomScalePageLayoutView="80" workbookViewId="0">
      <selection activeCell="L33" sqref="L33:L39"/>
    </sheetView>
  </sheetViews>
  <sheetFormatPr defaultColWidth="9.140625" defaultRowHeight="15.75" x14ac:dyDescent="0.25"/>
  <cols>
    <col min="1" max="1" width="23.28515625" style="208" customWidth="1"/>
    <col min="2" max="2" width="43.5703125" style="206" customWidth="1"/>
    <col min="3" max="3" width="13.7109375" style="207" customWidth="1"/>
    <col min="4" max="4" width="14.5703125" style="208" customWidth="1"/>
    <col min="5" max="5" width="17.7109375" style="209" customWidth="1"/>
    <col min="6" max="6" width="16.7109375" style="210" customWidth="1"/>
    <col min="7" max="7" width="4.85546875" style="210" customWidth="1"/>
    <col min="8" max="8" width="16.7109375" style="209" customWidth="1"/>
    <col min="9" max="10" width="16.7109375" style="210" customWidth="1"/>
    <col min="11" max="12" width="16.7109375" style="209" customWidth="1"/>
    <col min="13" max="16384" width="9.140625" style="151"/>
  </cols>
  <sheetData>
    <row r="1" spans="1:12" ht="54" x14ac:dyDescent="0.25">
      <c r="A1" s="7" t="s">
        <v>440</v>
      </c>
      <c r="B1" s="185"/>
      <c r="C1" s="186"/>
      <c r="D1" s="186"/>
      <c r="E1" s="187"/>
      <c r="F1" s="187"/>
      <c r="G1" s="188"/>
      <c r="H1" s="187"/>
      <c r="I1" s="187"/>
      <c r="J1" s="187"/>
      <c r="K1" s="187"/>
      <c r="L1" s="187"/>
    </row>
    <row r="2" spans="1:12" ht="50.1" customHeight="1" x14ac:dyDescent="0.25">
      <c r="A2" s="12" t="s">
        <v>5</v>
      </c>
      <c r="B2" s="12" t="s">
        <v>6</v>
      </c>
      <c r="C2" s="12" t="s">
        <v>0</v>
      </c>
      <c r="D2" s="12" t="s">
        <v>139</v>
      </c>
      <c r="E2" s="189" t="s">
        <v>234</v>
      </c>
      <c r="F2" s="299" t="s">
        <v>650</v>
      </c>
      <c r="G2" s="190" t="s">
        <v>300</v>
      </c>
      <c r="H2" s="189" t="s">
        <v>301</v>
      </c>
      <c r="I2" s="189" t="s">
        <v>302</v>
      </c>
      <c r="J2" s="189" t="s">
        <v>303</v>
      </c>
      <c r="K2" s="189" t="s">
        <v>304</v>
      </c>
      <c r="L2" s="189" t="s">
        <v>305</v>
      </c>
    </row>
    <row r="3" spans="1:12" ht="15.75" customHeight="1" x14ac:dyDescent="0.25">
      <c r="A3" s="1" t="s">
        <v>217</v>
      </c>
      <c r="B3" s="126" t="s">
        <v>64</v>
      </c>
      <c r="C3" s="2" t="s">
        <v>44</v>
      </c>
      <c r="D3" s="1">
        <v>246</v>
      </c>
      <c r="E3" s="283">
        <v>1995520</v>
      </c>
      <c r="F3" s="283">
        <v>1808996</v>
      </c>
      <c r="G3" s="301" t="s">
        <v>140</v>
      </c>
      <c r="H3" s="292">
        <v>186524</v>
      </c>
      <c r="I3" s="292">
        <v>0</v>
      </c>
      <c r="J3" s="292">
        <v>0</v>
      </c>
      <c r="K3" s="292">
        <v>0</v>
      </c>
      <c r="L3" s="292">
        <v>186524</v>
      </c>
    </row>
    <row r="4" spans="1:12" ht="15.75" customHeight="1" x14ac:dyDescent="0.25">
      <c r="A4" s="1" t="s">
        <v>217</v>
      </c>
      <c r="B4" s="126" t="s">
        <v>226</v>
      </c>
      <c r="C4" s="2" t="s">
        <v>225</v>
      </c>
      <c r="D4" s="1">
        <v>379</v>
      </c>
      <c r="E4" s="283">
        <v>925379</v>
      </c>
      <c r="F4" s="292">
        <v>0</v>
      </c>
      <c r="G4" s="301" t="s">
        <v>140</v>
      </c>
      <c r="H4" s="292">
        <v>925379</v>
      </c>
      <c r="I4" s="292">
        <v>0</v>
      </c>
      <c r="J4" s="292">
        <v>0</v>
      </c>
      <c r="K4" s="292">
        <v>0</v>
      </c>
      <c r="L4" s="292">
        <v>925379</v>
      </c>
    </row>
    <row r="5" spans="1:12" x14ac:dyDescent="0.25">
      <c r="A5" s="1" t="s">
        <v>217</v>
      </c>
      <c r="B5" s="126" t="s">
        <v>306</v>
      </c>
      <c r="C5" s="2" t="s">
        <v>307</v>
      </c>
      <c r="D5" s="1">
        <v>187</v>
      </c>
      <c r="E5" s="283">
        <v>7246988</v>
      </c>
      <c r="F5" s="292">
        <v>0</v>
      </c>
      <c r="G5" s="301" t="s">
        <v>140</v>
      </c>
      <c r="H5" s="292">
        <v>7246988</v>
      </c>
      <c r="I5" s="292">
        <v>0</v>
      </c>
      <c r="J5" s="292">
        <v>0</v>
      </c>
      <c r="K5" s="292">
        <v>0</v>
      </c>
      <c r="L5" s="292">
        <v>7246988</v>
      </c>
    </row>
    <row r="6" spans="1:12" x14ac:dyDescent="0.25">
      <c r="A6" s="1" t="s">
        <v>217</v>
      </c>
      <c r="B6" s="126" t="s">
        <v>65</v>
      </c>
      <c r="C6" s="2" t="s">
        <v>45</v>
      </c>
      <c r="D6" s="1">
        <v>121</v>
      </c>
      <c r="E6" s="283">
        <v>66774</v>
      </c>
      <c r="F6" s="283">
        <v>53087</v>
      </c>
      <c r="G6" s="301" t="s">
        <v>140</v>
      </c>
      <c r="H6" s="292">
        <v>13687</v>
      </c>
      <c r="I6" s="292">
        <v>0</v>
      </c>
      <c r="J6" s="292">
        <v>0</v>
      </c>
      <c r="K6" s="292">
        <v>0</v>
      </c>
      <c r="L6" s="292">
        <v>13687</v>
      </c>
    </row>
    <row r="7" spans="1:12" x14ac:dyDescent="0.25">
      <c r="A7" s="1" t="s">
        <v>217</v>
      </c>
      <c r="B7" s="126" t="s">
        <v>90</v>
      </c>
      <c r="C7" s="2" t="s">
        <v>91</v>
      </c>
      <c r="D7" s="1">
        <v>163</v>
      </c>
      <c r="E7" s="283">
        <v>15467</v>
      </c>
      <c r="F7" s="283">
        <v>2225</v>
      </c>
      <c r="G7" s="301" t="s">
        <v>140</v>
      </c>
      <c r="H7" s="292">
        <v>13242</v>
      </c>
      <c r="I7" s="292">
        <v>0</v>
      </c>
      <c r="J7" s="292">
        <v>0</v>
      </c>
      <c r="K7" s="292">
        <v>0</v>
      </c>
      <c r="L7" s="292">
        <v>13242</v>
      </c>
    </row>
    <row r="8" spans="1:12" x14ac:dyDescent="0.25">
      <c r="A8" s="202" t="s">
        <v>308</v>
      </c>
      <c r="B8" s="87" t="s">
        <v>140</v>
      </c>
      <c r="C8" s="87" t="s">
        <v>140</v>
      </c>
      <c r="D8" s="87" t="s">
        <v>140</v>
      </c>
      <c r="E8" s="244">
        <f>SUBTOTAL(109,E3:E7)</f>
        <v>10250128</v>
      </c>
      <c r="F8" s="244">
        <f t="shared" ref="F8:L8" si="0">SUBTOTAL(109,F3:F7)</f>
        <v>1864308</v>
      </c>
      <c r="G8" s="80">
        <f t="shared" si="0"/>
        <v>0</v>
      </c>
      <c r="H8" s="244">
        <f t="shared" si="0"/>
        <v>8385820</v>
      </c>
      <c r="I8" s="244">
        <f t="shared" si="0"/>
        <v>0</v>
      </c>
      <c r="J8" s="244">
        <f t="shared" si="0"/>
        <v>0</v>
      </c>
      <c r="K8" s="244">
        <f t="shared" si="0"/>
        <v>0</v>
      </c>
      <c r="L8" s="244">
        <f t="shared" si="0"/>
        <v>8385820</v>
      </c>
    </row>
    <row r="9" spans="1:12" x14ac:dyDescent="0.25">
      <c r="A9" s="195" t="s">
        <v>141</v>
      </c>
      <c r="B9" s="142"/>
      <c r="C9" s="142"/>
      <c r="D9" s="142"/>
      <c r="E9" s="26"/>
      <c r="F9" s="26"/>
      <c r="G9" s="196"/>
      <c r="H9" s="26"/>
      <c r="I9" s="26"/>
      <c r="J9" s="26"/>
      <c r="K9" s="26"/>
      <c r="L9" s="26"/>
    </row>
    <row r="10" spans="1:12" ht="50.25" x14ac:dyDescent="0.25">
      <c r="A10" s="12" t="s">
        <v>5</v>
      </c>
      <c r="B10" s="12" t="s">
        <v>6</v>
      </c>
      <c r="C10" s="12" t="s">
        <v>0</v>
      </c>
      <c r="D10" s="12" t="s">
        <v>139</v>
      </c>
      <c r="E10" s="189" t="s">
        <v>234</v>
      </c>
      <c r="F10" s="197" t="s">
        <v>310</v>
      </c>
      <c r="G10" s="198" t="s">
        <v>142</v>
      </c>
      <c r="H10" s="189" t="s">
        <v>301</v>
      </c>
      <c r="I10" s="189" t="s">
        <v>302</v>
      </c>
      <c r="J10" s="189" t="s">
        <v>303</v>
      </c>
      <c r="K10" s="189" t="s">
        <v>304</v>
      </c>
      <c r="L10" s="189" t="s">
        <v>305</v>
      </c>
    </row>
    <row r="11" spans="1:12" x14ac:dyDescent="0.25">
      <c r="A11" s="328" t="s">
        <v>96</v>
      </c>
      <c r="B11" s="330" t="s">
        <v>64</v>
      </c>
      <c r="C11" s="331" t="s">
        <v>44</v>
      </c>
      <c r="D11" s="332">
        <v>246</v>
      </c>
      <c r="E11" s="333">
        <v>1710080</v>
      </c>
      <c r="F11" s="333">
        <v>1697658</v>
      </c>
      <c r="G11" s="336" t="s">
        <v>140</v>
      </c>
      <c r="H11" s="334">
        <v>12422</v>
      </c>
      <c r="I11" s="334">
        <v>1418</v>
      </c>
      <c r="J11" s="334">
        <v>1418</v>
      </c>
      <c r="K11" s="334">
        <v>0</v>
      </c>
      <c r="L11" s="334">
        <v>12422</v>
      </c>
    </row>
    <row r="12" spans="1:12" x14ac:dyDescent="0.25">
      <c r="A12" s="328" t="s">
        <v>96</v>
      </c>
      <c r="B12" s="330" t="s">
        <v>50</v>
      </c>
      <c r="C12" s="331" t="s">
        <v>30</v>
      </c>
      <c r="D12" s="332">
        <v>152</v>
      </c>
      <c r="E12" s="333">
        <v>766328</v>
      </c>
      <c r="F12" s="333">
        <v>624000</v>
      </c>
      <c r="G12" s="336" t="s">
        <v>140</v>
      </c>
      <c r="H12" s="334">
        <v>142328</v>
      </c>
      <c r="I12" s="334">
        <v>0</v>
      </c>
      <c r="J12" s="334">
        <v>0</v>
      </c>
      <c r="K12" s="334">
        <v>0</v>
      </c>
      <c r="L12" s="334">
        <v>142328</v>
      </c>
    </row>
    <row r="13" spans="1:12" ht="30.75" x14ac:dyDescent="0.25">
      <c r="A13" s="328" t="s">
        <v>96</v>
      </c>
      <c r="B13" s="330" t="s">
        <v>226</v>
      </c>
      <c r="C13" s="331" t="s">
        <v>225</v>
      </c>
      <c r="D13" s="332">
        <v>379</v>
      </c>
      <c r="E13" s="333">
        <v>1047314</v>
      </c>
      <c r="F13" s="334">
        <v>0</v>
      </c>
      <c r="G13" s="336" t="s">
        <v>140</v>
      </c>
      <c r="H13" s="334">
        <v>1047314</v>
      </c>
      <c r="I13" s="334">
        <v>0</v>
      </c>
      <c r="J13" s="334">
        <v>0</v>
      </c>
      <c r="K13" s="334">
        <v>0</v>
      </c>
      <c r="L13" s="334">
        <v>1047314</v>
      </c>
    </row>
    <row r="14" spans="1:12" x14ac:dyDescent="0.25">
      <c r="A14" s="328" t="s">
        <v>96</v>
      </c>
      <c r="B14" s="330" t="s">
        <v>63</v>
      </c>
      <c r="C14" s="331" t="s">
        <v>43</v>
      </c>
      <c r="D14" s="332">
        <v>90</v>
      </c>
      <c r="E14" s="333">
        <v>388713</v>
      </c>
      <c r="F14" s="333">
        <v>385998</v>
      </c>
      <c r="G14" s="336" t="s">
        <v>140</v>
      </c>
      <c r="H14" s="334">
        <v>2715</v>
      </c>
      <c r="I14" s="334">
        <v>0</v>
      </c>
      <c r="J14" s="334">
        <v>0</v>
      </c>
      <c r="K14" s="334">
        <v>0</v>
      </c>
      <c r="L14" s="334">
        <v>2715</v>
      </c>
    </row>
    <row r="15" spans="1:12" ht="30.75" x14ac:dyDescent="0.25">
      <c r="A15" s="328" t="s">
        <v>96</v>
      </c>
      <c r="B15" s="330" t="s">
        <v>51</v>
      </c>
      <c r="C15" s="331" t="s">
        <v>31</v>
      </c>
      <c r="D15" s="332">
        <v>262</v>
      </c>
      <c r="E15" s="333">
        <v>186408</v>
      </c>
      <c r="F15" s="333">
        <v>183998</v>
      </c>
      <c r="G15" s="336" t="s">
        <v>140</v>
      </c>
      <c r="H15" s="334">
        <v>2410</v>
      </c>
      <c r="I15" s="334">
        <v>0</v>
      </c>
      <c r="J15" s="334">
        <v>0</v>
      </c>
      <c r="K15" s="334">
        <v>0</v>
      </c>
      <c r="L15" s="334">
        <v>2410</v>
      </c>
    </row>
    <row r="16" spans="1:12" ht="30.75" x14ac:dyDescent="0.25">
      <c r="A16" s="328" t="s">
        <v>96</v>
      </c>
      <c r="B16" s="330" t="s">
        <v>130</v>
      </c>
      <c r="C16" s="331" t="s">
        <v>134</v>
      </c>
      <c r="D16" s="332">
        <v>13</v>
      </c>
      <c r="E16" s="333">
        <v>11400562</v>
      </c>
      <c r="F16" s="333">
        <v>11400562</v>
      </c>
      <c r="G16" s="336" t="s">
        <v>140</v>
      </c>
      <c r="H16" s="334">
        <v>0</v>
      </c>
      <c r="I16" s="334">
        <v>1107005</v>
      </c>
      <c r="J16" s="334">
        <v>0</v>
      </c>
      <c r="K16" s="334">
        <v>1107005</v>
      </c>
      <c r="L16" s="334">
        <v>-1107005</v>
      </c>
    </row>
    <row r="17" spans="1:12" ht="30.75" x14ac:dyDescent="0.25">
      <c r="A17" s="328" t="s">
        <v>96</v>
      </c>
      <c r="B17" s="330" t="s">
        <v>52</v>
      </c>
      <c r="C17" s="331" t="s">
        <v>32</v>
      </c>
      <c r="D17" s="332">
        <v>167</v>
      </c>
      <c r="E17" s="333">
        <v>10040680</v>
      </c>
      <c r="F17" s="333">
        <v>9909000</v>
      </c>
      <c r="G17" s="336" t="s">
        <v>140</v>
      </c>
      <c r="H17" s="334">
        <v>131680</v>
      </c>
      <c r="I17" s="334">
        <v>0</v>
      </c>
      <c r="J17" s="334">
        <v>0</v>
      </c>
      <c r="K17" s="334">
        <v>0</v>
      </c>
      <c r="L17" s="334">
        <v>131680</v>
      </c>
    </row>
    <row r="18" spans="1:12" ht="30.75" x14ac:dyDescent="0.25">
      <c r="A18" s="328" t="s">
        <v>96</v>
      </c>
      <c r="B18" s="330" t="s">
        <v>53</v>
      </c>
      <c r="C18" s="331" t="s">
        <v>33</v>
      </c>
      <c r="D18" s="332">
        <v>274</v>
      </c>
      <c r="E18" s="333">
        <v>2458662</v>
      </c>
      <c r="F18" s="333">
        <v>2367993</v>
      </c>
      <c r="G18" s="336" t="s">
        <v>140</v>
      </c>
      <c r="H18" s="334">
        <v>90669</v>
      </c>
      <c r="I18" s="334">
        <v>0</v>
      </c>
      <c r="J18" s="334">
        <v>0</v>
      </c>
      <c r="K18" s="334">
        <v>0</v>
      </c>
      <c r="L18" s="334">
        <v>90669</v>
      </c>
    </row>
    <row r="19" spans="1:12" ht="30.75" x14ac:dyDescent="0.25">
      <c r="A19" s="328" t="s">
        <v>96</v>
      </c>
      <c r="B19" s="330" t="s">
        <v>132</v>
      </c>
      <c r="C19" s="331" t="s">
        <v>136</v>
      </c>
      <c r="D19" s="332">
        <v>197</v>
      </c>
      <c r="E19" s="333">
        <v>2488509</v>
      </c>
      <c r="F19" s="333">
        <v>2482800</v>
      </c>
      <c r="G19" s="336" t="s">
        <v>140</v>
      </c>
      <c r="H19" s="334">
        <v>5709</v>
      </c>
      <c r="I19" s="334">
        <v>259</v>
      </c>
      <c r="J19" s="334">
        <v>259</v>
      </c>
      <c r="K19" s="334">
        <v>0</v>
      </c>
      <c r="L19" s="334">
        <v>5709</v>
      </c>
    </row>
    <row r="20" spans="1:12" x14ac:dyDescent="0.25">
      <c r="A20" s="328" t="s">
        <v>96</v>
      </c>
      <c r="B20" s="330" t="s">
        <v>55</v>
      </c>
      <c r="C20" s="331" t="s">
        <v>35</v>
      </c>
      <c r="D20" s="332">
        <v>334</v>
      </c>
      <c r="E20" s="333">
        <v>19940</v>
      </c>
      <c r="F20" s="333">
        <v>15000</v>
      </c>
      <c r="G20" s="336" t="s">
        <v>140</v>
      </c>
      <c r="H20" s="334">
        <v>4940</v>
      </c>
      <c r="I20" s="334">
        <v>0</v>
      </c>
      <c r="J20" s="334">
        <v>0</v>
      </c>
      <c r="K20" s="334">
        <v>0</v>
      </c>
      <c r="L20" s="334">
        <v>4940</v>
      </c>
    </row>
    <row r="21" spans="1:12" x14ac:dyDescent="0.25">
      <c r="A21" s="328" t="s">
        <v>96</v>
      </c>
      <c r="B21" s="330" t="s">
        <v>56</v>
      </c>
      <c r="C21" s="331" t="s">
        <v>36</v>
      </c>
      <c r="D21" s="332">
        <v>43</v>
      </c>
      <c r="E21" s="333">
        <v>15408</v>
      </c>
      <c r="F21" s="333">
        <v>8000</v>
      </c>
      <c r="G21" s="336" t="s">
        <v>140</v>
      </c>
      <c r="H21" s="334">
        <v>7408</v>
      </c>
      <c r="I21" s="334">
        <v>0</v>
      </c>
      <c r="J21" s="334">
        <v>0</v>
      </c>
      <c r="K21" s="334">
        <v>0</v>
      </c>
      <c r="L21" s="334">
        <v>7408</v>
      </c>
    </row>
    <row r="22" spans="1:12" ht="30.75" x14ac:dyDescent="0.25">
      <c r="A22" s="328" t="s">
        <v>96</v>
      </c>
      <c r="B22" s="330" t="s">
        <v>49</v>
      </c>
      <c r="C22" s="331" t="s">
        <v>47</v>
      </c>
      <c r="D22" s="332">
        <v>373</v>
      </c>
      <c r="E22" s="333">
        <v>501051</v>
      </c>
      <c r="F22" s="333">
        <v>498701</v>
      </c>
      <c r="G22" s="336" t="s">
        <v>140</v>
      </c>
      <c r="H22" s="334">
        <v>2350</v>
      </c>
      <c r="I22" s="334">
        <v>0</v>
      </c>
      <c r="J22" s="334">
        <v>0</v>
      </c>
      <c r="K22" s="334">
        <v>0</v>
      </c>
      <c r="L22" s="334">
        <v>2350</v>
      </c>
    </row>
    <row r="23" spans="1:12" ht="30.75" x14ac:dyDescent="0.25">
      <c r="A23" s="328" t="s">
        <v>96</v>
      </c>
      <c r="B23" s="330" t="s">
        <v>58</v>
      </c>
      <c r="C23" s="331" t="s">
        <v>38</v>
      </c>
      <c r="D23" s="332">
        <v>264</v>
      </c>
      <c r="E23" s="333">
        <v>890165</v>
      </c>
      <c r="F23" s="333">
        <v>837000</v>
      </c>
      <c r="G23" s="336" t="s">
        <v>140</v>
      </c>
      <c r="H23" s="334">
        <v>53165</v>
      </c>
      <c r="I23" s="334">
        <v>0</v>
      </c>
      <c r="J23" s="334">
        <v>0</v>
      </c>
      <c r="K23" s="334">
        <v>0</v>
      </c>
      <c r="L23" s="334">
        <v>53165</v>
      </c>
    </row>
    <row r="24" spans="1:12" x14ac:dyDescent="0.25">
      <c r="A24" s="328" t="s">
        <v>96</v>
      </c>
      <c r="B24" s="330" t="s">
        <v>306</v>
      </c>
      <c r="C24" s="331" t="s">
        <v>307</v>
      </c>
      <c r="D24" s="332">
        <v>187</v>
      </c>
      <c r="E24" s="333">
        <v>7441853</v>
      </c>
      <c r="F24" s="334">
        <v>0</v>
      </c>
      <c r="G24" s="336" t="s">
        <v>140</v>
      </c>
      <c r="H24" s="334">
        <v>7441853</v>
      </c>
      <c r="I24" s="334">
        <v>0</v>
      </c>
      <c r="J24" s="334">
        <v>0</v>
      </c>
      <c r="K24" s="334">
        <v>0</v>
      </c>
      <c r="L24" s="334">
        <v>7441853</v>
      </c>
    </row>
    <row r="25" spans="1:12" x14ac:dyDescent="0.25">
      <c r="A25" s="328" t="s">
        <v>96</v>
      </c>
      <c r="B25" s="330" t="s">
        <v>97</v>
      </c>
      <c r="C25" s="331" t="s">
        <v>98</v>
      </c>
      <c r="D25" s="332">
        <v>378</v>
      </c>
      <c r="E25" s="333">
        <v>7549500</v>
      </c>
      <c r="F25" s="333">
        <v>2445779</v>
      </c>
      <c r="G25" s="337"/>
      <c r="H25" s="334">
        <v>5103721</v>
      </c>
      <c r="I25" s="334">
        <v>0</v>
      </c>
      <c r="J25" s="334">
        <v>0</v>
      </c>
      <c r="K25" s="334">
        <v>0</v>
      </c>
      <c r="L25" s="334">
        <v>5103721</v>
      </c>
    </row>
    <row r="26" spans="1:12" x14ac:dyDescent="0.25">
      <c r="A26" s="328" t="s">
        <v>96</v>
      </c>
      <c r="B26" s="330" t="s">
        <v>61</v>
      </c>
      <c r="C26" s="331" t="s">
        <v>41</v>
      </c>
      <c r="D26" s="332">
        <v>175</v>
      </c>
      <c r="E26" s="333">
        <v>14741950</v>
      </c>
      <c r="F26" s="333">
        <v>3932999</v>
      </c>
      <c r="G26" s="337"/>
      <c r="H26" s="334">
        <v>10808951</v>
      </c>
      <c r="I26" s="334">
        <v>0</v>
      </c>
      <c r="J26" s="334">
        <v>0</v>
      </c>
      <c r="K26" s="334">
        <v>0</v>
      </c>
      <c r="L26" s="334">
        <v>10808951</v>
      </c>
    </row>
    <row r="27" spans="1:12" ht="30.75" x14ac:dyDescent="0.25">
      <c r="A27" s="328" t="s">
        <v>96</v>
      </c>
      <c r="B27" s="330" t="s">
        <v>62</v>
      </c>
      <c r="C27" s="331" t="s">
        <v>42</v>
      </c>
      <c r="D27" s="332">
        <v>372</v>
      </c>
      <c r="E27" s="333">
        <v>1569356</v>
      </c>
      <c r="F27" s="333">
        <v>1386000</v>
      </c>
      <c r="G27" s="337"/>
      <c r="H27" s="334">
        <v>183356</v>
      </c>
      <c r="I27" s="334">
        <v>0</v>
      </c>
      <c r="J27" s="334">
        <v>0</v>
      </c>
      <c r="K27" s="334">
        <v>0</v>
      </c>
      <c r="L27" s="334">
        <v>183356</v>
      </c>
    </row>
    <row r="28" spans="1:12" x14ac:dyDescent="0.25">
      <c r="A28" s="328" t="s">
        <v>96</v>
      </c>
      <c r="B28" s="330" t="s">
        <v>94</v>
      </c>
      <c r="C28" s="331" t="s">
        <v>95</v>
      </c>
      <c r="D28" s="332">
        <v>377</v>
      </c>
      <c r="E28" s="333">
        <v>2867995</v>
      </c>
      <c r="F28" s="333">
        <v>2816677</v>
      </c>
      <c r="G28" s="336" t="s">
        <v>140</v>
      </c>
      <c r="H28" s="334">
        <v>51318</v>
      </c>
      <c r="I28" s="334">
        <v>0</v>
      </c>
      <c r="J28" s="334">
        <v>0</v>
      </c>
      <c r="K28" s="334">
        <v>0</v>
      </c>
      <c r="L28" s="334">
        <v>51318</v>
      </c>
    </row>
    <row r="29" spans="1:12" x14ac:dyDescent="0.25">
      <c r="A29" s="328"/>
      <c r="B29" s="335"/>
      <c r="C29" s="335"/>
      <c r="D29" s="335"/>
      <c r="E29" s="338"/>
      <c r="F29" s="338"/>
      <c r="G29" s="339"/>
      <c r="H29" s="338"/>
      <c r="I29" s="338"/>
      <c r="J29" s="338"/>
      <c r="K29" s="338"/>
      <c r="L29" s="338"/>
    </row>
    <row r="30" spans="1:12" x14ac:dyDescent="0.25">
      <c r="A30" s="231" t="s">
        <v>309</v>
      </c>
      <c r="B30" s="329" t="s">
        <v>140</v>
      </c>
      <c r="C30" s="329" t="s">
        <v>140</v>
      </c>
      <c r="D30" s="329" t="s">
        <v>140</v>
      </c>
      <c r="E30" s="303">
        <f>SUBTOTAL(109,Table124[Program
Costs])</f>
        <v>66084474</v>
      </c>
      <c r="F30" s="303">
        <f>SUBTOTAL(109,Table124[Less: Net Payments and Offsets1])</f>
        <v>40992165</v>
      </c>
      <c r="G30" s="303">
        <f>SUBTOTAL(109,Table124[Comment1])</f>
        <v>0</v>
      </c>
      <c r="H30" s="303">
        <f>SUBTOTAL(109,Table124[Account
Payable 
Balance])</f>
        <v>25092309</v>
      </c>
      <c r="I30" s="303">
        <f>SUBTOTAL(109,Table124[Established
Account 
Receivable])</f>
        <v>1108682</v>
      </c>
      <c r="J30" s="303">
        <f>SUBTOTAL(109,Table124[Less: 
Recovered Amount])</f>
        <v>1677</v>
      </c>
      <c r="K30" s="303">
        <f>SUBTOTAL(109,Table124[Account  Receivable
Balance])</f>
        <v>1107005</v>
      </c>
      <c r="L30" s="303">
        <f>SUBTOTAL(109,Table124[Net
Balance])</f>
        <v>23985304</v>
      </c>
    </row>
    <row r="31" spans="1:12" x14ac:dyDescent="0.25">
      <c r="A31" s="195"/>
      <c r="B31" s="142"/>
      <c r="C31" s="142"/>
      <c r="D31" s="142"/>
      <c r="E31" s="26"/>
      <c r="F31" s="26"/>
      <c r="G31" s="196"/>
      <c r="H31" s="26"/>
      <c r="I31" s="26"/>
      <c r="J31" s="26"/>
      <c r="K31" s="26"/>
      <c r="L31" s="26"/>
    </row>
    <row r="32" spans="1:12" ht="50.25" x14ac:dyDescent="0.25">
      <c r="A32" s="12" t="s">
        <v>5</v>
      </c>
      <c r="B32" s="12" t="s">
        <v>6</v>
      </c>
      <c r="C32" s="12" t="s">
        <v>0</v>
      </c>
      <c r="D32" s="12" t="s">
        <v>139</v>
      </c>
      <c r="E32" s="189" t="s">
        <v>234</v>
      </c>
      <c r="F32" s="197" t="s">
        <v>310</v>
      </c>
      <c r="G32" s="198" t="s">
        <v>142</v>
      </c>
      <c r="H32" s="189" t="s">
        <v>301</v>
      </c>
      <c r="I32" s="189" t="s">
        <v>302</v>
      </c>
      <c r="J32" s="189" t="s">
        <v>303</v>
      </c>
      <c r="K32" s="189" t="s">
        <v>304</v>
      </c>
      <c r="L32" s="189" t="s">
        <v>305</v>
      </c>
    </row>
    <row r="33" spans="1:12" ht="15.75" customHeight="1" x14ac:dyDescent="0.25">
      <c r="A33" s="1" t="s">
        <v>46</v>
      </c>
      <c r="B33" s="126" t="s">
        <v>64</v>
      </c>
      <c r="C33" s="2" t="s">
        <v>44</v>
      </c>
      <c r="D33" s="1">
        <v>246</v>
      </c>
      <c r="E33" s="283">
        <v>1752471</v>
      </c>
      <c r="F33" s="283">
        <v>1726710</v>
      </c>
      <c r="G33" s="301" t="s">
        <v>140</v>
      </c>
      <c r="H33" s="340">
        <v>25761</v>
      </c>
      <c r="I33" s="340">
        <v>17315</v>
      </c>
      <c r="J33" s="340">
        <v>17053</v>
      </c>
      <c r="K33" s="340">
        <v>262</v>
      </c>
      <c r="L33" s="283">
        <v>25499</v>
      </c>
    </row>
    <row r="34" spans="1:12" ht="30.75" x14ac:dyDescent="0.25">
      <c r="A34" s="1" t="s">
        <v>46</v>
      </c>
      <c r="B34" s="126" t="s">
        <v>130</v>
      </c>
      <c r="C34" s="2" t="s">
        <v>134</v>
      </c>
      <c r="D34" s="1">
        <v>13</v>
      </c>
      <c r="E34" s="283">
        <v>8197871</v>
      </c>
      <c r="F34" s="283">
        <v>8319574</v>
      </c>
      <c r="G34" s="301" t="s">
        <v>140</v>
      </c>
      <c r="H34" s="340">
        <v>-121703</v>
      </c>
      <c r="I34" s="340">
        <v>4483367</v>
      </c>
      <c r="J34" s="340">
        <v>662142</v>
      </c>
      <c r="K34" s="340">
        <v>3821225</v>
      </c>
      <c r="L34" s="283">
        <v>-3942928</v>
      </c>
    </row>
    <row r="35" spans="1:12" x14ac:dyDescent="0.25">
      <c r="A35" s="1" t="s">
        <v>46</v>
      </c>
      <c r="B35" s="126" t="s">
        <v>306</v>
      </c>
      <c r="C35" s="2" t="s">
        <v>307</v>
      </c>
      <c r="D35" s="1">
        <v>187</v>
      </c>
      <c r="E35" s="283">
        <v>7051221</v>
      </c>
      <c r="F35" s="292">
        <v>0</v>
      </c>
      <c r="G35" s="301" t="s">
        <v>140</v>
      </c>
      <c r="H35" s="340">
        <v>7051221</v>
      </c>
      <c r="I35" s="292">
        <v>0</v>
      </c>
      <c r="J35" s="292">
        <v>0</v>
      </c>
      <c r="K35" s="292">
        <v>0</v>
      </c>
      <c r="L35" s="283">
        <v>7051221</v>
      </c>
    </row>
    <row r="36" spans="1:12" x14ac:dyDescent="0.25">
      <c r="A36" s="1" t="s">
        <v>46</v>
      </c>
      <c r="B36" s="126" t="s">
        <v>59</v>
      </c>
      <c r="C36" s="2" t="s">
        <v>39</v>
      </c>
      <c r="D36" s="1">
        <v>127</v>
      </c>
      <c r="E36" s="283">
        <v>542118</v>
      </c>
      <c r="F36" s="283">
        <v>542118</v>
      </c>
      <c r="G36" s="301" t="s">
        <v>140</v>
      </c>
      <c r="H36" s="292">
        <v>0</v>
      </c>
      <c r="I36" s="340">
        <v>4962</v>
      </c>
      <c r="J36" s="340">
        <v>3400</v>
      </c>
      <c r="K36" s="340">
        <v>1562</v>
      </c>
      <c r="L36" s="283">
        <v>-1562</v>
      </c>
    </row>
    <row r="37" spans="1:12" ht="15" customHeight="1" x14ac:dyDescent="0.25">
      <c r="A37" s="1" t="s">
        <v>46</v>
      </c>
      <c r="B37" s="126" t="s">
        <v>97</v>
      </c>
      <c r="C37" s="2" t="s">
        <v>98</v>
      </c>
      <c r="D37" s="1">
        <v>378</v>
      </c>
      <c r="E37" s="283">
        <v>3716384</v>
      </c>
      <c r="F37" s="283">
        <v>1176268</v>
      </c>
      <c r="G37" s="301" t="s">
        <v>140</v>
      </c>
      <c r="H37" s="340">
        <v>2540116</v>
      </c>
      <c r="I37" s="292">
        <v>0</v>
      </c>
      <c r="J37" s="292">
        <v>0</v>
      </c>
      <c r="K37" s="292">
        <v>0</v>
      </c>
      <c r="L37" s="283">
        <v>2540116</v>
      </c>
    </row>
    <row r="38" spans="1:12" ht="30.75" x14ac:dyDescent="0.25">
      <c r="A38" s="1" t="s">
        <v>46</v>
      </c>
      <c r="B38" s="126" t="s">
        <v>62</v>
      </c>
      <c r="C38" s="2" t="s">
        <v>42</v>
      </c>
      <c r="D38" s="1">
        <v>372</v>
      </c>
      <c r="E38" s="283">
        <v>1590613</v>
      </c>
      <c r="F38" s="283">
        <v>1590613</v>
      </c>
      <c r="G38" s="301" t="s">
        <v>140</v>
      </c>
      <c r="H38" s="292">
        <v>0</v>
      </c>
      <c r="I38" s="340">
        <v>9073</v>
      </c>
      <c r="J38" s="292">
        <v>0</v>
      </c>
      <c r="K38" s="340">
        <v>9073</v>
      </c>
      <c r="L38" s="283">
        <v>-9073</v>
      </c>
    </row>
    <row r="39" spans="1:12" x14ac:dyDescent="0.25">
      <c r="A39" s="1" t="s">
        <v>46</v>
      </c>
      <c r="B39" s="126" t="s">
        <v>94</v>
      </c>
      <c r="C39" s="2" t="s">
        <v>95</v>
      </c>
      <c r="D39" s="1">
        <v>377</v>
      </c>
      <c r="E39" s="283">
        <v>2867224</v>
      </c>
      <c r="F39" s="283">
        <v>2856610</v>
      </c>
      <c r="G39" s="301" t="s">
        <v>140</v>
      </c>
      <c r="H39" s="340">
        <v>10614</v>
      </c>
      <c r="I39" s="292">
        <v>0</v>
      </c>
      <c r="J39" s="292">
        <v>0</v>
      </c>
      <c r="K39" s="292">
        <v>0</v>
      </c>
      <c r="L39" s="283">
        <v>10614</v>
      </c>
    </row>
    <row r="40" spans="1:12" x14ac:dyDescent="0.25">
      <c r="A40" s="199" t="s">
        <v>311</v>
      </c>
      <c r="B40" s="200" t="s">
        <v>140</v>
      </c>
      <c r="C40" s="200" t="s">
        <v>140</v>
      </c>
      <c r="D40" s="200" t="s">
        <v>140</v>
      </c>
      <c r="E40" s="293">
        <f>SUBTOTAL(109,local201920[Program
Costs])</f>
        <v>25717902</v>
      </c>
      <c r="F40" s="293">
        <f>SUBTOTAL(109,local201920[Less: Net Payments and Offsets1])</f>
        <v>16211893</v>
      </c>
      <c r="G40" s="341" t="s">
        <v>140</v>
      </c>
      <c r="H40" s="293">
        <f>SUBTOTAL(109,local201920[Account
Payable 
Balance])</f>
        <v>9506009</v>
      </c>
      <c r="I40" s="293">
        <f>SUBTOTAL(109,local201920[Established
Account 
Receivable])</f>
        <v>4514717</v>
      </c>
      <c r="J40" s="293">
        <f>SUBTOTAL(109,local201920[Less: 
Recovered Amount])</f>
        <v>682595</v>
      </c>
      <c r="K40" s="293">
        <f>SUBTOTAL(109,local201920[Account  Receivable
Balance])</f>
        <v>3832122</v>
      </c>
      <c r="L40" s="293">
        <f>SUBTOTAL(109,local201920[Net
Balance])</f>
        <v>5673887</v>
      </c>
    </row>
    <row r="41" spans="1:12" x14ac:dyDescent="0.25">
      <c r="A41" s="195" t="s">
        <v>141</v>
      </c>
      <c r="B41" s="142"/>
      <c r="C41" s="142"/>
      <c r="D41" s="142"/>
      <c r="E41" s="26"/>
      <c r="F41" s="26"/>
      <c r="G41" s="196"/>
      <c r="H41" s="191" t="s">
        <v>140</v>
      </c>
      <c r="I41" s="26"/>
      <c r="J41" s="26"/>
      <c r="K41" s="26"/>
      <c r="L41" s="26"/>
    </row>
    <row r="42" spans="1:12" ht="50.25" x14ac:dyDescent="0.25">
      <c r="A42" s="12" t="s">
        <v>5</v>
      </c>
      <c r="B42" s="12" t="s">
        <v>6</v>
      </c>
      <c r="C42" s="12" t="s">
        <v>0</v>
      </c>
      <c r="D42" s="12" t="s">
        <v>139</v>
      </c>
      <c r="E42" s="189" t="s">
        <v>234</v>
      </c>
      <c r="F42" s="197" t="s">
        <v>310</v>
      </c>
      <c r="G42" s="198" t="s">
        <v>142</v>
      </c>
      <c r="H42" s="189" t="s">
        <v>301</v>
      </c>
      <c r="I42" s="189" t="s">
        <v>302</v>
      </c>
      <c r="J42" s="189" t="s">
        <v>303</v>
      </c>
      <c r="K42" s="189" t="s">
        <v>304</v>
      </c>
      <c r="L42" s="189" t="s">
        <v>305</v>
      </c>
    </row>
    <row r="43" spans="1:12" ht="15.75" customHeight="1" x14ac:dyDescent="0.25">
      <c r="A43" s="1" t="s">
        <v>2</v>
      </c>
      <c r="B43" s="126" t="s">
        <v>64</v>
      </c>
      <c r="C43" s="2" t="s">
        <v>44</v>
      </c>
      <c r="D43" s="1">
        <v>246</v>
      </c>
      <c r="E43" s="283">
        <v>1963745</v>
      </c>
      <c r="F43" s="283">
        <v>1944872</v>
      </c>
      <c r="G43" s="301" t="s">
        <v>140</v>
      </c>
      <c r="H43" s="292">
        <v>18873</v>
      </c>
      <c r="I43" s="292">
        <v>7614</v>
      </c>
      <c r="J43" s="292">
        <v>7614</v>
      </c>
      <c r="K43" s="292">
        <v>0</v>
      </c>
      <c r="L43" s="292">
        <v>18873</v>
      </c>
    </row>
    <row r="44" spans="1:12" ht="30.75" x14ac:dyDescent="0.25">
      <c r="A44" s="1" t="s">
        <v>2</v>
      </c>
      <c r="B44" s="126" t="s">
        <v>130</v>
      </c>
      <c r="C44" s="2" t="s">
        <v>134</v>
      </c>
      <c r="D44" s="1">
        <v>13</v>
      </c>
      <c r="E44" s="283">
        <v>8439817</v>
      </c>
      <c r="F44" s="283">
        <v>8439817</v>
      </c>
      <c r="G44" s="301" t="s">
        <v>140</v>
      </c>
      <c r="H44" s="292">
        <v>0</v>
      </c>
      <c r="I44" s="292">
        <v>4441110</v>
      </c>
      <c r="J44" s="292">
        <v>1324830</v>
      </c>
      <c r="K44" s="292">
        <v>3116280</v>
      </c>
      <c r="L44" s="292">
        <v>-3116280</v>
      </c>
    </row>
    <row r="45" spans="1:12" x14ac:dyDescent="0.25">
      <c r="A45" s="1" t="s">
        <v>2</v>
      </c>
      <c r="B45" s="126" t="s">
        <v>306</v>
      </c>
      <c r="C45" s="2" t="s">
        <v>307</v>
      </c>
      <c r="D45" s="1">
        <v>187</v>
      </c>
      <c r="E45" s="283">
        <v>6705629</v>
      </c>
      <c r="F45" s="292">
        <v>0</v>
      </c>
      <c r="G45" s="301" t="s">
        <v>140</v>
      </c>
      <c r="H45" s="292">
        <v>6705629</v>
      </c>
      <c r="I45" s="292">
        <v>0</v>
      </c>
      <c r="J45" s="292">
        <v>0</v>
      </c>
      <c r="K45" s="292">
        <v>0</v>
      </c>
      <c r="L45" s="292">
        <v>6705629</v>
      </c>
    </row>
    <row r="46" spans="1:12" x14ac:dyDescent="0.25">
      <c r="A46" s="199" t="s">
        <v>312</v>
      </c>
      <c r="B46" s="200" t="s">
        <v>140</v>
      </c>
      <c r="C46" s="200" t="s">
        <v>140</v>
      </c>
      <c r="D46" s="200" t="s">
        <v>140</v>
      </c>
      <c r="E46" s="293">
        <f>SUBTOTAL(109,local201819[Program
Costs])</f>
        <v>17109191</v>
      </c>
      <c r="F46" s="293">
        <f>SUBTOTAL(109,local201819[Less: Net Payments and Offsets1])</f>
        <v>10384689</v>
      </c>
      <c r="G46" s="341" t="s">
        <v>140</v>
      </c>
      <c r="H46" s="293">
        <f>SUBTOTAL(109,local201819[Account
Payable 
Balance])</f>
        <v>6724502</v>
      </c>
      <c r="I46" s="293">
        <f>SUBTOTAL(109,local201819[Established
Account 
Receivable])</f>
        <v>4448724</v>
      </c>
      <c r="J46" s="293">
        <f>SUBTOTAL(109,local201819[Less: 
Recovered Amount])</f>
        <v>1332444</v>
      </c>
      <c r="K46" s="293">
        <f>SUBTOTAL(109,local201819[Account  Receivable
Balance])</f>
        <v>3116280</v>
      </c>
      <c r="L46" s="293">
        <f>SUBTOTAL(109,local201819[Net
Balance])</f>
        <v>3608222</v>
      </c>
    </row>
    <row r="47" spans="1:12" ht="50.1" customHeight="1" x14ac:dyDescent="0.25">
      <c r="A47" s="195" t="s">
        <v>141</v>
      </c>
      <c r="B47" s="142"/>
      <c r="C47" s="142"/>
      <c r="D47" s="142"/>
      <c r="E47" s="26"/>
      <c r="F47" s="26"/>
      <c r="G47" s="196"/>
      <c r="H47" s="26"/>
      <c r="I47" s="26"/>
      <c r="J47" s="26"/>
      <c r="K47" s="26"/>
      <c r="L47" s="26"/>
    </row>
    <row r="48" spans="1:12" ht="50.25" x14ac:dyDescent="0.25">
      <c r="A48" s="12" t="s">
        <v>5</v>
      </c>
      <c r="B48" s="12" t="s">
        <v>6</v>
      </c>
      <c r="C48" s="12" t="s">
        <v>0</v>
      </c>
      <c r="D48" s="12" t="s">
        <v>139</v>
      </c>
      <c r="E48" s="189" t="s">
        <v>234</v>
      </c>
      <c r="F48" s="197" t="s">
        <v>310</v>
      </c>
      <c r="G48" s="198" t="s">
        <v>142</v>
      </c>
      <c r="H48" s="189" t="s">
        <v>301</v>
      </c>
      <c r="I48" s="189" t="s">
        <v>302</v>
      </c>
      <c r="J48" s="189" t="s">
        <v>303</v>
      </c>
      <c r="K48" s="189" t="s">
        <v>304</v>
      </c>
      <c r="L48" s="189" t="s">
        <v>305</v>
      </c>
    </row>
    <row r="49" spans="1:12" ht="30.75" customHeight="1" x14ac:dyDescent="0.25">
      <c r="A49" s="1" t="s">
        <v>3</v>
      </c>
      <c r="B49" s="126" t="s">
        <v>130</v>
      </c>
      <c r="C49" s="2" t="s">
        <v>134</v>
      </c>
      <c r="D49" s="1">
        <v>13</v>
      </c>
      <c r="E49" s="283">
        <v>8559775</v>
      </c>
      <c r="F49" s="283">
        <v>8559775</v>
      </c>
      <c r="G49" s="301" t="s">
        <v>140</v>
      </c>
      <c r="H49" s="292">
        <v>0</v>
      </c>
      <c r="I49" s="292">
        <v>3996960</v>
      </c>
      <c r="J49" s="292">
        <v>1722031</v>
      </c>
      <c r="K49" s="292">
        <v>2274929</v>
      </c>
      <c r="L49" s="292">
        <v>-2274929</v>
      </c>
    </row>
    <row r="50" spans="1:12" ht="15.75" customHeight="1" x14ac:dyDescent="0.25">
      <c r="A50" s="1" t="s">
        <v>3</v>
      </c>
      <c r="B50" s="126" t="s">
        <v>52</v>
      </c>
      <c r="C50" s="2" t="s">
        <v>32</v>
      </c>
      <c r="D50" s="1">
        <v>167</v>
      </c>
      <c r="E50" s="283">
        <v>9483538</v>
      </c>
      <c r="F50" s="283">
        <v>9483538</v>
      </c>
      <c r="G50" s="301" t="s">
        <v>140</v>
      </c>
      <c r="H50" s="292">
        <v>0</v>
      </c>
      <c r="I50" s="292">
        <v>32867</v>
      </c>
      <c r="J50" s="292">
        <v>32185</v>
      </c>
      <c r="K50" s="292">
        <v>682</v>
      </c>
      <c r="L50" s="292">
        <v>-682</v>
      </c>
    </row>
    <row r="51" spans="1:12" ht="15" customHeight="1" x14ac:dyDescent="0.25">
      <c r="A51" s="1" t="s">
        <v>3</v>
      </c>
      <c r="B51" s="126" t="s">
        <v>306</v>
      </c>
      <c r="C51" s="2" t="s">
        <v>307</v>
      </c>
      <c r="D51" s="1">
        <v>187</v>
      </c>
      <c r="E51" s="283">
        <v>7056213</v>
      </c>
      <c r="F51" s="292">
        <v>0</v>
      </c>
      <c r="G51" s="301" t="s">
        <v>140</v>
      </c>
      <c r="H51" s="292">
        <v>7056213</v>
      </c>
      <c r="I51" s="292">
        <v>0</v>
      </c>
      <c r="J51" s="292">
        <v>0</v>
      </c>
      <c r="K51" s="292">
        <v>0</v>
      </c>
      <c r="L51" s="292">
        <v>7056213</v>
      </c>
    </row>
    <row r="52" spans="1:12" x14ac:dyDescent="0.25">
      <c r="A52" s="199" t="s">
        <v>313</v>
      </c>
      <c r="B52" s="200" t="s">
        <v>140</v>
      </c>
      <c r="C52" s="200" t="s">
        <v>140</v>
      </c>
      <c r="D52" s="200" t="s">
        <v>140</v>
      </c>
      <c r="E52" s="293">
        <f>SUBTOTAL(109,local201718[Program
Costs])</f>
        <v>25099526</v>
      </c>
      <c r="F52" s="293">
        <f>SUBTOTAL(109,local201718[Less: Net Payments and Offsets1])</f>
        <v>18043313</v>
      </c>
      <c r="G52" s="341" t="s">
        <v>140</v>
      </c>
      <c r="H52" s="293">
        <f>SUBTOTAL(109,local201718[Account
Payable 
Balance])</f>
        <v>7056213</v>
      </c>
      <c r="I52" s="293">
        <f>SUBTOTAL(109,local201718[Established
Account 
Receivable])</f>
        <v>4029827</v>
      </c>
      <c r="J52" s="293">
        <f>SUBTOTAL(109,local201718[Less: 
Recovered Amount])</f>
        <v>1754216</v>
      </c>
      <c r="K52" s="293">
        <f>SUBTOTAL(109,local201718[Account  Receivable
Balance])</f>
        <v>2275611</v>
      </c>
      <c r="L52" s="293">
        <f>SUBTOTAL(109,local201718[Net
Balance])</f>
        <v>4780602</v>
      </c>
    </row>
    <row r="53" spans="1:12" x14ac:dyDescent="0.25">
      <c r="A53" s="195" t="s">
        <v>141</v>
      </c>
      <c r="B53" s="142"/>
      <c r="C53" s="142"/>
      <c r="D53" s="142"/>
      <c r="E53" s="26"/>
      <c r="F53" s="26"/>
      <c r="G53" s="196"/>
      <c r="H53" s="26"/>
      <c r="I53" s="26"/>
      <c r="J53" s="26"/>
      <c r="K53" s="26"/>
      <c r="L53" s="26"/>
    </row>
    <row r="54" spans="1:12" ht="50.25" x14ac:dyDescent="0.25">
      <c r="A54" s="12" t="s">
        <v>5</v>
      </c>
      <c r="B54" s="12" t="s">
        <v>6</v>
      </c>
      <c r="C54" s="12" t="s">
        <v>0</v>
      </c>
      <c r="D54" s="12" t="s">
        <v>139</v>
      </c>
      <c r="E54" s="189" t="s">
        <v>234</v>
      </c>
      <c r="F54" s="197" t="s">
        <v>310</v>
      </c>
      <c r="G54" s="198" t="s">
        <v>142</v>
      </c>
      <c r="H54" s="189" t="s">
        <v>301</v>
      </c>
      <c r="I54" s="189" t="s">
        <v>302</v>
      </c>
      <c r="J54" s="189" t="s">
        <v>303</v>
      </c>
      <c r="K54" s="189" t="s">
        <v>304</v>
      </c>
      <c r="L54" s="189" t="s">
        <v>305</v>
      </c>
    </row>
    <row r="55" spans="1:12" ht="15.75" customHeight="1" x14ac:dyDescent="0.25">
      <c r="A55" s="1" t="s">
        <v>48</v>
      </c>
      <c r="B55" s="126" t="s">
        <v>53</v>
      </c>
      <c r="C55" s="2" t="s">
        <v>33</v>
      </c>
      <c r="D55" s="1">
        <v>274</v>
      </c>
      <c r="E55" s="283">
        <v>2188022</v>
      </c>
      <c r="F55" s="283">
        <v>2188022</v>
      </c>
      <c r="G55" s="301" t="s">
        <v>140</v>
      </c>
      <c r="H55" s="292">
        <v>0</v>
      </c>
      <c r="I55" s="292">
        <v>1211</v>
      </c>
      <c r="J55" s="292">
        <v>711</v>
      </c>
      <c r="K55" s="292">
        <v>500</v>
      </c>
      <c r="L55" s="292">
        <v>-500</v>
      </c>
    </row>
    <row r="56" spans="1:12" ht="15" customHeight="1" x14ac:dyDescent="0.25">
      <c r="A56" s="1" t="s">
        <v>48</v>
      </c>
      <c r="B56" s="126" t="s">
        <v>306</v>
      </c>
      <c r="C56" s="2" t="s">
        <v>307</v>
      </c>
      <c r="D56" s="1">
        <v>187</v>
      </c>
      <c r="E56" s="283">
        <v>6167307</v>
      </c>
      <c r="F56" s="292">
        <v>0</v>
      </c>
      <c r="G56" s="301" t="s">
        <v>140</v>
      </c>
      <c r="H56" s="292">
        <v>6167307</v>
      </c>
      <c r="I56" s="292">
        <v>0</v>
      </c>
      <c r="J56" s="292">
        <v>0</v>
      </c>
      <c r="K56" s="292">
        <v>0</v>
      </c>
      <c r="L56" s="292">
        <v>6167307</v>
      </c>
    </row>
    <row r="57" spans="1:12" ht="15" customHeight="1" x14ac:dyDescent="0.25">
      <c r="A57" s="199" t="s">
        <v>314</v>
      </c>
      <c r="B57" s="200" t="s">
        <v>140</v>
      </c>
      <c r="C57" s="200" t="s">
        <v>140</v>
      </c>
      <c r="D57" s="200" t="s">
        <v>140</v>
      </c>
      <c r="E57" s="293">
        <f>SUBTOTAL(109,local201617[Program
Costs])</f>
        <v>8355329</v>
      </c>
      <c r="F57" s="293">
        <f>SUBTOTAL(109,local201617[Less: Net Payments and Offsets1])</f>
        <v>2188022</v>
      </c>
      <c r="G57" s="341" t="s">
        <v>140</v>
      </c>
      <c r="H57" s="293">
        <f>SUBTOTAL(109,local201617[Account
Payable 
Balance])</f>
        <v>6167307</v>
      </c>
      <c r="I57" s="293">
        <f>SUBTOTAL(109,local201617[Established
Account 
Receivable])</f>
        <v>1211</v>
      </c>
      <c r="J57" s="293">
        <f>SUBTOTAL(109,local201617[Less: 
Recovered Amount])</f>
        <v>711</v>
      </c>
      <c r="K57" s="293">
        <f>SUBTOTAL(109,local201617[Account  Receivable
Balance])</f>
        <v>500</v>
      </c>
      <c r="L57" s="293">
        <f>SUBTOTAL(109,local201617[Net
Balance])</f>
        <v>6166807</v>
      </c>
    </row>
    <row r="58" spans="1:12" x14ac:dyDescent="0.25">
      <c r="A58" s="195" t="s">
        <v>141</v>
      </c>
      <c r="B58" s="142"/>
      <c r="C58" s="142"/>
      <c r="D58" s="142"/>
      <c r="E58" s="26"/>
      <c r="F58" s="26"/>
      <c r="G58" s="196"/>
      <c r="H58" s="26"/>
      <c r="I58" s="26"/>
      <c r="J58" s="26"/>
      <c r="K58" s="26"/>
      <c r="L58" s="26"/>
    </row>
    <row r="59" spans="1:12" ht="50.25" x14ac:dyDescent="0.25">
      <c r="A59" s="12" t="s">
        <v>5</v>
      </c>
      <c r="B59" s="12" t="s">
        <v>6</v>
      </c>
      <c r="C59" s="12" t="s">
        <v>0</v>
      </c>
      <c r="D59" s="12" t="s">
        <v>139</v>
      </c>
      <c r="E59" s="189" t="s">
        <v>234</v>
      </c>
      <c r="F59" s="197" t="s">
        <v>310</v>
      </c>
      <c r="G59" s="198" t="s">
        <v>142</v>
      </c>
      <c r="H59" s="189" t="s">
        <v>301</v>
      </c>
      <c r="I59" s="189" t="s">
        <v>302</v>
      </c>
      <c r="J59" s="189" t="s">
        <v>303</v>
      </c>
      <c r="K59" s="189" t="s">
        <v>304</v>
      </c>
      <c r="L59" s="189" t="s">
        <v>305</v>
      </c>
    </row>
    <row r="60" spans="1:12" ht="15" customHeight="1" x14ac:dyDescent="0.25">
      <c r="A60" s="1" t="s">
        <v>315</v>
      </c>
      <c r="B60" s="126" t="s">
        <v>54</v>
      </c>
      <c r="C60" s="2" t="s">
        <v>34</v>
      </c>
      <c r="D60" s="1">
        <v>371</v>
      </c>
      <c r="E60" s="283">
        <v>298477</v>
      </c>
      <c r="F60" s="283">
        <v>298477</v>
      </c>
      <c r="G60" s="301" t="s">
        <v>140</v>
      </c>
      <c r="H60" s="292">
        <v>0</v>
      </c>
      <c r="I60" s="292">
        <v>233747</v>
      </c>
      <c r="J60" s="292">
        <v>0</v>
      </c>
      <c r="K60" s="292">
        <v>233747</v>
      </c>
      <c r="L60" s="292">
        <v>-233747</v>
      </c>
    </row>
    <row r="61" spans="1:12" x14ac:dyDescent="0.25">
      <c r="A61" s="1" t="s">
        <v>315</v>
      </c>
      <c r="B61" s="126" t="s">
        <v>306</v>
      </c>
      <c r="C61" s="2" t="s">
        <v>307</v>
      </c>
      <c r="D61" s="1">
        <v>187</v>
      </c>
      <c r="E61" s="283">
        <v>6781918</v>
      </c>
      <c r="F61" s="292">
        <v>0</v>
      </c>
      <c r="G61" s="301" t="s">
        <v>140</v>
      </c>
      <c r="H61" s="292">
        <v>6781918</v>
      </c>
      <c r="I61" s="292">
        <v>0</v>
      </c>
      <c r="J61" s="292">
        <v>0</v>
      </c>
      <c r="K61" s="292">
        <v>0</v>
      </c>
      <c r="L61" s="292">
        <v>6781918</v>
      </c>
    </row>
    <row r="62" spans="1:12" ht="15" customHeight="1" x14ac:dyDescent="0.25">
      <c r="A62" s="199" t="s">
        <v>316</v>
      </c>
      <c r="B62" s="200" t="s">
        <v>140</v>
      </c>
      <c r="C62" s="200" t="s">
        <v>140</v>
      </c>
      <c r="D62" s="200" t="s">
        <v>140</v>
      </c>
      <c r="E62" s="293">
        <f>SUBTOTAL(109,local201516[Program
Costs])</f>
        <v>7080395</v>
      </c>
      <c r="F62" s="293">
        <f>SUBTOTAL(109,local201516[Less: Net Payments and Offsets1])</f>
        <v>298477</v>
      </c>
      <c r="G62" s="341" t="s">
        <v>140</v>
      </c>
      <c r="H62" s="293">
        <f>SUBTOTAL(109,local201516[Account
Payable 
Balance])</f>
        <v>6781918</v>
      </c>
      <c r="I62" s="293">
        <f>SUBTOTAL(109,local201516[Established
Account 
Receivable])</f>
        <v>233747</v>
      </c>
      <c r="J62" s="293">
        <f>SUBTOTAL(109,local201516[Less: 
Recovered Amount])</f>
        <v>0</v>
      </c>
      <c r="K62" s="293">
        <f>SUBTOTAL(109,local201516[Account  Receivable
Balance])</f>
        <v>233747</v>
      </c>
      <c r="L62" s="293">
        <f>SUBTOTAL(109,local201516[Net
Balance])</f>
        <v>6548171</v>
      </c>
    </row>
    <row r="63" spans="1:12" ht="50.1" customHeight="1" x14ac:dyDescent="0.25">
      <c r="A63" s="195" t="s">
        <v>141</v>
      </c>
      <c r="B63" s="142"/>
      <c r="C63" s="142"/>
      <c r="D63" s="142"/>
      <c r="E63" s="26"/>
      <c r="F63" s="26"/>
      <c r="G63" s="196"/>
      <c r="H63" s="26"/>
      <c r="I63" s="26"/>
      <c r="J63" s="26"/>
      <c r="K63" s="26"/>
      <c r="L63" s="26"/>
    </row>
    <row r="64" spans="1:12" ht="50.25" x14ac:dyDescent="0.25">
      <c r="A64" s="12" t="s">
        <v>5</v>
      </c>
      <c r="B64" s="12" t="s">
        <v>6</v>
      </c>
      <c r="C64" s="12" t="s">
        <v>0</v>
      </c>
      <c r="D64" s="12" t="s">
        <v>139</v>
      </c>
      <c r="E64" s="189" t="s">
        <v>234</v>
      </c>
      <c r="F64" s="197" t="s">
        <v>310</v>
      </c>
      <c r="G64" s="198" t="s">
        <v>142</v>
      </c>
      <c r="H64" s="189" t="s">
        <v>301</v>
      </c>
      <c r="I64" s="189" t="s">
        <v>302</v>
      </c>
      <c r="J64" s="189" t="s">
        <v>303</v>
      </c>
      <c r="K64" s="189" t="s">
        <v>304</v>
      </c>
      <c r="L64" s="189" t="s">
        <v>305</v>
      </c>
    </row>
    <row r="65" spans="1:12" ht="15" customHeight="1" x14ac:dyDescent="0.25">
      <c r="A65" s="1" t="s">
        <v>317</v>
      </c>
      <c r="B65" s="126" t="s">
        <v>306</v>
      </c>
      <c r="C65" s="2" t="s">
        <v>307</v>
      </c>
      <c r="D65" s="1">
        <v>187</v>
      </c>
      <c r="E65" s="283">
        <v>6118565</v>
      </c>
      <c r="F65" s="292">
        <v>0</v>
      </c>
      <c r="G65" s="301" t="s">
        <v>140</v>
      </c>
      <c r="H65" s="292">
        <v>6118565</v>
      </c>
      <c r="I65" s="292">
        <v>0</v>
      </c>
      <c r="J65" s="292">
        <v>0</v>
      </c>
      <c r="K65" s="292">
        <v>0</v>
      </c>
      <c r="L65" s="292">
        <v>6118565</v>
      </c>
    </row>
    <row r="66" spans="1:12" ht="15" customHeight="1" x14ac:dyDescent="0.25">
      <c r="A66" s="199" t="s">
        <v>318</v>
      </c>
      <c r="B66" s="200" t="s">
        <v>140</v>
      </c>
      <c r="C66" s="200" t="s">
        <v>140</v>
      </c>
      <c r="D66" s="200" t="s">
        <v>140</v>
      </c>
      <c r="E66" s="293">
        <f>SUBTOTAL(109,local201415[Program
Costs])</f>
        <v>6118565</v>
      </c>
      <c r="F66" s="293">
        <f>SUBTOTAL(109,local201415[Less: Net Payments and Offsets1])</f>
        <v>0</v>
      </c>
      <c r="G66" s="341" t="s">
        <v>140</v>
      </c>
      <c r="H66" s="293">
        <f>SUBTOTAL(109,local201415[Account
Payable 
Balance])</f>
        <v>6118565</v>
      </c>
      <c r="I66" s="293">
        <f>SUBTOTAL(109,local201415[Established
Account 
Receivable])</f>
        <v>0</v>
      </c>
      <c r="J66" s="293">
        <f>SUBTOTAL(109,local201415[Less: 
Recovered Amount])</f>
        <v>0</v>
      </c>
      <c r="K66" s="293">
        <f>SUBTOTAL(109,local201415[Account  Receivable
Balance])</f>
        <v>0</v>
      </c>
      <c r="L66" s="293">
        <f>SUBTOTAL(109,local201415[Net
Balance])</f>
        <v>6118565</v>
      </c>
    </row>
    <row r="67" spans="1:12" x14ac:dyDescent="0.25">
      <c r="A67" s="195" t="s">
        <v>141</v>
      </c>
      <c r="B67" s="142"/>
      <c r="C67" s="142"/>
      <c r="D67" s="142"/>
      <c r="E67" s="26"/>
      <c r="F67" s="26"/>
      <c r="G67" s="196"/>
      <c r="H67" s="26"/>
      <c r="I67" s="26"/>
      <c r="J67" s="26"/>
      <c r="K67" s="26"/>
      <c r="L67" s="26"/>
    </row>
    <row r="68" spans="1:12" ht="50.25" x14ac:dyDescent="0.25">
      <c r="A68" s="12" t="s">
        <v>5</v>
      </c>
      <c r="B68" s="12" t="s">
        <v>6</v>
      </c>
      <c r="C68" s="12" t="s">
        <v>0</v>
      </c>
      <c r="D68" s="12" t="s">
        <v>139</v>
      </c>
      <c r="E68" s="189" t="s">
        <v>234</v>
      </c>
      <c r="F68" s="197" t="s">
        <v>310</v>
      </c>
      <c r="G68" s="198" t="s">
        <v>142</v>
      </c>
      <c r="H68" s="189" t="s">
        <v>301</v>
      </c>
      <c r="I68" s="189" t="s">
        <v>302</v>
      </c>
      <c r="J68" s="189" t="s">
        <v>303</v>
      </c>
      <c r="K68" s="189" t="s">
        <v>304</v>
      </c>
      <c r="L68" s="189" t="s">
        <v>305</v>
      </c>
    </row>
    <row r="69" spans="1:12" ht="15" customHeight="1" x14ac:dyDescent="0.25">
      <c r="A69" s="1" t="s">
        <v>319</v>
      </c>
      <c r="B69" s="126" t="s">
        <v>52</v>
      </c>
      <c r="C69" s="2" t="s">
        <v>32</v>
      </c>
      <c r="D69" s="1">
        <v>167</v>
      </c>
      <c r="E69" s="283">
        <v>7825991</v>
      </c>
      <c r="F69" s="283">
        <v>7825991</v>
      </c>
      <c r="G69" s="301" t="s">
        <v>140</v>
      </c>
      <c r="H69" s="292">
        <v>0</v>
      </c>
      <c r="I69" s="292">
        <v>132637</v>
      </c>
      <c r="J69" s="292">
        <v>98973</v>
      </c>
      <c r="K69" s="292">
        <v>33664</v>
      </c>
      <c r="L69" s="292">
        <v>-33664</v>
      </c>
    </row>
    <row r="70" spans="1:12" ht="15" customHeight="1" x14ac:dyDescent="0.25">
      <c r="A70" s="1" t="s">
        <v>319</v>
      </c>
      <c r="B70" s="126" t="s">
        <v>306</v>
      </c>
      <c r="C70" s="2" t="s">
        <v>307</v>
      </c>
      <c r="D70" s="1">
        <v>187</v>
      </c>
      <c r="E70" s="283">
        <v>6014556</v>
      </c>
      <c r="F70" s="292">
        <v>0</v>
      </c>
      <c r="G70" s="301" t="s">
        <v>140</v>
      </c>
      <c r="H70" s="292">
        <v>6014556</v>
      </c>
      <c r="I70" s="292">
        <v>0</v>
      </c>
      <c r="J70" s="292">
        <v>0</v>
      </c>
      <c r="K70" s="292">
        <v>0</v>
      </c>
      <c r="L70" s="292">
        <v>6014556</v>
      </c>
    </row>
    <row r="71" spans="1:12" ht="15" customHeight="1" x14ac:dyDescent="0.25">
      <c r="A71" s="199" t="s">
        <v>320</v>
      </c>
      <c r="B71" s="200" t="s">
        <v>140</v>
      </c>
      <c r="C71" s="200" t="s">
        <v>140</v>
      </c>
      <c r="D71" s="200" t="s">
        <v>140</v>
      </c>
      <c r="E71" s="293">
        <f>SUBTOTAL(109,local201314[Program
Costs])</f>
        <v>13840547</v>
      </c>
      <c r="F71" s="293">
        <f>SUBTOTAL(109,local201314[Less: Net Payments and Offsets1])</f>
        <v>7825991</v>
      </c>
      <c r="G71" s="341" t="s">
        <v>140</v>
      </c>
      <c r="H71" s="293">
        <f>SUBTOTAL(109,local201314[Account
Payable 
Balance])</f>
        <v>6014556</v>
      </c>
      <c r="I71" s="293">
        <f>SUBTOTAL(109,local201314[Established
Account 
Receivable])</f>
        <v>132637</v>
      </c>
      <c r="J71" s="293">
        <f>SUBTOTAL(109,local201314[Less: 
Recovered Amount])</f>
        <v>98973</v>
      </c>
      <c r="K71" s="293">
        <f>SUBTOTAL(109,local201314[Account  Receivable
Balance])</f>
        <v>33664</v>
      </c>
      <c r="L71" s="293">
        <f>SUBTOTAL(109,local201314[Net
Balance])</f>
        <v>5980892</v>
      </c>
    </row>
    <row r="72" spans="1:12" x14ac:dyDescent="0.25">
      <c r="A72" s="195" t="s">
        <v>141</v>
      </c>
      <c r="B72" s="142"/>
      <c r="C72" s="142"/>
      <c r="D72" s="142"/>
      <c r="E72" s="26"/>
      <c r="F72" s="26"/>
      <c r="G72" s="196"/>
      <c r="H72" s="26"/>
      <c r="I72" s="26"/>
      <c r="J72" s="26"/>
      <c r="K72" s="26"/>
      <c r="L72" s="26"/>
    </row>
    <row r="73" spans="1:12" ht="50.25" x14ac:dyDescent="0.25">
      <c r="A73" s="12" t="s">
        <v>5</v>
      </c>
      <c r="B73" s="12" t="s">
        <v>6</v>
      </c>
      <c r="C73" s="12" t="s">
        <v>0</v>
      </c>
      <c r="D73" s="12" t="s">
        <v>139</v>
      </c>
      <c r="E73" s="189" t="s">
        <v>234</v>
      </c>
      <c r="F73" s="197" t="s">
        <v>310</v>
      </c>
      <c r="G73" s="198" t="s">
        <v>142</v>
      </c>
      <c r="H73" s="189" t="s">
        <v>301</v>
      </c>
      <c r="I73" s="189" t="s">
        <v>302</v>
      </c>
      <c r="J73" s="189" t="s">
        <v>303</v>
      </c>
      <c r="K73" s="189" t="s">
        <v>304</v>
      </c>
      <c r="L73" s="189" t="s">
        <v>305</v>
      </c>
    </row>
    <row r="74" spans="1:12" x14ac:dyDescent="0.25">
      <c r="A74" s="1" t="s">
        <v>321</v>
      </c>
      <c r="B74" s="126" t="s">
        <v>306</v>
      </c>
      <c r="C74" s="2" t="s">
        <v>307</v>
      </c>
      <c r="D74" s="1">
        <v>187</v>
      </c>
      <c r="E74" s="283">
        <v>5461966</v>
      </c>
      <c r="F74" s="292">
        <v>0</v>
      </c>
      <c r="G74" s="301" t="s">
        <v>140</v>
      </c>
      <c r="H74" s="292">
        <v>5461966</v>
      </c>
      <c r="I74" s="292">
        <v>0</v>
      </c>
      <c r="J74" s="292">
        <v>0</v>
      </c>
      <c r="K74" s="292">
        <v>0</v>
      </c>
      <c r="L74" s="292">
        <v>5461966</v>
      </c>
    </row>
    <row r="75" spans="1:12" x14ac:dyDescent="0.25">
      <c r="A75" s="199" t="s">
        <v>322</v>
      </c>
      <c r="B75" s="200" t="s">
        <v>140</v>
      </c>
      <c r="C75" s="200" t="s">
        <v>140</v>
      </c>
      <c r="D75" s="200" t="s">
        <v>140</v>
      </c>
      <c r="E75" s="293">
        <f>SUBTOTAL(109,local201213[Program
Costs])</f>
        <v>5461966</v>
      </c>
      <c r="F75" s="293">
        <f>SUBTOTAL(109,local201213[Less: Net Payments and Offsets1])</f>
        <v>0</v>
      </c>
      <c r="G75" s="341" t="s">
        <v>140</v>
      </c>
      <c r="H75" s="293">
        <f>SUBTOTAL(109,local201213[Account
Payable 
Balance])</f>
        <v>5461966</v>
      </c>
      <c r="I75" s="293">
        <f>SUBTOTAL(109,local201213[Established
Account 
Receivable])</f>
        <v>0</v>
      </c>
      <c r="J75" s="293">
        <f>SUBTOTAL(109,local201213[Less: 
Recovered Amount])</f>
        <v>0</v>
      </c>
      <c r="K75" s="293">
        <f>SUBTOTAL(109,local201213[Account  Receivable
Balance])</f>
        <v>0</v>
      </c>
      <c r="L75" s="293">
        <f>SUBTOTAL(109,local201213[Net
Balance])</f>
        <v>5461966</v>
      </c>
    </row>
    <row r="76" spans="1:12" x14ac:dyDescent="0.25">
      <c r="A76" s="195" t="s">
        <v>141</v>
      </c>
      <c r="B76" s="142"/>
      <c r="C76" s="142"/>
      <c r="D76" s="142"/>
      <c r="E76" s="26"/>
      <c r="F76" s="26"/>
      <c r="G76" s="196"/>
      <c r="H76" s="26"/>
      <c r="I76" s="26"/>
      <c r="J76" s="26"/>
      <c r="K76" s="26"/>
      <c r="L76" s="26"/>
    </row>
    <row r="77" spans="1:12" ht="50.25" x14ac:dyDescent="0.25">
      <c r="A77" s="12" t="s">
        <v>5</v>
      </c>
      <c r="B77" s="12" t="s">
        <v>6</v>
      </c>
      <c r="C77" s="12" t="s">
        <v>0</v>
      </c>
      <c r="D77" s="12" t="s">
        <v>139</v>
      </c>
      <c r="E77" s="189" t="s">
        <v>234</v>
      </c>
      <c r="F77" s="197" t="s">
        <v>310</v>
      </c>
      <c r="G77" s="198" t="s">
        <v>142</v>
      </c>
      <c r="H77" s="189" t="s">
        <v>301</v>
      </c>
      <c r="I77" s="189" t="s">
        <v>302</v>
      </c>
      <c r="J77" s="189" t="s">
        <v>303</v>
      </c>
      <c r="K77" s="189" t="s">
        <v>304</v>
      </c>
      <c r="L77" s="189" t="s">
        <v>305</v>
      </c>
    </row>
    <row r="78" spans="1:12" ht="15.75" customHeight="1" x14ac:dyDescent="0.25">
      <c r="A78" s="1" t="s">
        <v>323</v>
      </c>
      <c r="B78" s="126" t="s">
        <v>324</v>
      </c>
      <c r="C78" s="2" t="s">
        <v>325</v>
      </c>
      <c r="D78" s="1">
        <v>314</v>
      </c>
      <c r="E78" s="283">
        <v>381146</v>
      </c>
      <c r="F78" s="292">
        <v>372223</v>
      </c>
      <c r="G78" s="301" t="s">
        <v>140</v>
      </c>
      <c r="H78" s="292">
        <v>8923</v>
      </c>
      <c r="I78" s="292">
        <v>0</v>
      </c>
      <c r="J78" s="292">
        <v>0</v>
      </c>
      <c r="K78" s="292">
        <v>0</v>
      </c>
      <c r="L78" s="292">
        <v>8923</v>
      </c>
    </row>
    <row r="79" spans="1:12" ht="15" customHeight="1" x14ac:dyDescent="0.25">
      <c r="A79" s="1" t="s">
        <v>323</v>
      </c>
      <c r="B79" s="126" t="s">
        <v>326</v>
      </c>
      <c r="C79" s="2" t="s">
        <v>327</v>
      </c>
      <c r="D79" s="1">
        <v>219</v>
      </c>
      <c r="E79" s="283">
        <v>14066200</v>
      </c>
      <c r="F79" s="292">
        <v>0</v>
      </c>
      <c r="G79" s="302"/>
      <c r="H79" s="294">
        <v>14066200</v>
      </c>
      <c r="I79" s="294">
        <v>0</v>
      </c>
      <c r="J79" s="294">
        <v>0</v>
      </c>
      <c r="K79" s="294">
        <v>0</v>
      </c>
      <c r="L79" s="294">
        <v>14066200</v>
      </c>
    </row>
    <row r="80" spans="1:12" x14ac:dyDescent="0.25">
      <c r="A80" s="1" t="s">
        <v>323</v>
      </c>
      <c r="B80" s="126" t="s">
        <v>306</v>
      </c>
      <c r="C80" s="2" t="s">
        <v>307</v>
      </c>
      <c r="D80" s="1">
        <v>187</v>
      </c>
      <c r="E80" s="283">
        <v>5760946</v>
      </c>
      <c r="F80" s="292">
        <v>0</v>
      </c>
      <c r="G80" s="301" t="s">
        <v>140</v>
      </c>
      <c r="H80" s="292">
        <v>5760946</v>
      </c>
      <c r="I80" s="292">
        <v>0</v>
      </c>
      <c r="J80" s="292">
        <v>0</v>
      </c>
      <c r="K80" s="292">
        <v>0</v>
      </c>
      <c r="L80" s="292">
        <v>5760946</v>
      </c>
    </row>
    <row r="81" spans="1:12" x14ac:dyDescent="0.25">
      <c r="A81" s="199" t="s">
        <v>328</v>
      </c>
      <c r="B81" s="200" t="s">
        <v>140</v>
      </c>
      <c r="C81" s="200" t="s">
        <v>140</v>
      </c>
      <c r="D81" s="200" t="s">
        <v>140</v>
      </c>
      <c r="E81" s="293">
        <f>SUBTOTAL(109,local201112[Program
Costs])</f>
        <v>20208292</v>
      </c>
      <c r="F81" s="293">
        <f>SUBTOTAL(109,local201112[Less: Net Payments and Offsets1])</f>
        <v>372223</v>
      </c>
      <c r="G81" s="341" t="s">
        <v>140</v>
      </c>
      <c r="H81" s="293">
        <f>SUBTOTAL(109,local201112[Account
Payable 
Balance])</f>
        <v>19836069</v>
      </c>
      <c r="I81" s="293">
        <f>SUBTOTAL(109,local201112[Established
Account 
Receivable])</f>
        <v>0</v>
      </c>
      <c r="J81" s="293">
        <f>SUBTOTAL(109,local201112[Less: 
Recovered Amount])</f>
        <v>0</v>
      </c>
      <c r="K81" s="293">
        <f>SUBTOTAL(109,local201112[Account  Receivable
Balance])</f>
        <v>0</v>
      </c>
      <c r="L81" s="293">
        <f>SUBTOTAL(109,local201112[Net
Balance])</f>
        <v>19836069</v>
      </c>
    </row>
    <row r="82" spans="1:12" x14ac:dyDescent="0.25">
      <c r="A82" s="195" t="s">
        <v>141</v>
      </c>
      <c r="B82" s="142"/>
      <c r="C82" s="142"/>
      <c r="D82" s="142"/>
      <c r="E82" s="26"/>
      <c r="F82" s="26"/>
      <c r="G82" s="196"/>
      <c r="H82" s="26"/>
      <c r="I82" s="26"/>
      <c r="J82" s="26"/>
      <c r="K82" s="26"/>
      <c r="L82" s="26"/>
    </row>
    <row r="83" spans="1:12" ht="50.25" x14ac:dyDescent="0.25">
      <c r="A83" s="12" t="s">
        <v>5</v>
      </c>
      <c r="B83" s="12" t="s">
        <v>6</v>
      </c>
      <c r="C83" s="12" t="s">
        <v>0</v>
      </c>
      <c r="D83" s="12" t="s">
        <v>139</v>
      </c>
      <c r="E83" s="189" t="s">
        <v>234</v>
      </c>
      <c r="F83" s="197" t="s">
        <v>310</v>
      </c>
      <c r="G83" s="198" t="s">
        <v>142</v>
      </c>
      <c r="H83" s="189" t="s">
        <v>301</v>
      </c>
      <c r="I83" s="189" t="s">
        <v>302</v>
      </c>
      <c r="J83" s="189" t="s">
        <v>303</v>
      </c>
      <c r="K83" s="189" t="s">
        <v>304</v>
      </c>
      <c r="L83" s="189" t="s">
        <v>305</v>
      </c>
    </row>
    <row r="84" spans="1:12" ht="30.75" customHeight="1" x14ac:dyDescent="0.25">
      <c r="A84" s="1" t="s">
        <v>329</v>
      </c>
      <c r="B84" s="126" t="s">
        <v>330</v>
      </c>
      <c r="C84" s="2" t="s">
        <v>331</v>
      </c>
      <c r="D84" s="1">
        <v>2</v>
      </c>
      <c r="E84" s="283">
        <v>24780791</v>
      </c>
      <c r="F84" s="292">
        <v>0</v>
      </c>
      <c r="G84" s="301" t="s">
        <v>140</v>
      </c>
      <c r="H84" s="292">
        <v>24780791</v>
      </c>
      <c r="I84" s="292">
        <v>0</v>
      </c>
      <c r="J84" s="292">
        <v>0</v>
      </c>
      <c r="K84" s="292">
        <v>0</v>
      </c>
      <c r="L84" s="292">
        <v>24780791</v>
      </c>
    </row>
    <row r="85" spans="1:12" x14ac:dyDescent="0.25">
      <c r="A85" s="1" t="s">
        <v>329</v>
      </c>
      <c r="B85" s="126" t="s">
        <v>332</v>
      </c>
      <c r="C85" s="2" t="s">
        <v>333</v>
      </c>
      <c r="D85" s="1">
        <v>248</v>
      </c>
      <c r="E85" s="283">
        <v>35138</v>
      </c>
      <c r="F85" s="292">
        <v>0</v>
      </c>
      <c r="G85" s="301" t="s">
        <v>140</v>
      </c>
      <c r="H85" s="292">
        <v>35138</v>
      </c>
      <c r="I85" s="292">
        <v>0</v>
      </c>
      <c r="J85" s="292">
        <v>0</v>
      </c>
      <c r="K85" s="292">
        <v>0</v>
      </c>
      <c r="L85" s="292">
        <v>35138</v>
      </c>
    </row>
    <row r="86" spans="1:12" x14ac:dyDescent="0.25">
      <c r="A86" s="1" t="s">
        <v>329</v>
      </c>
      <c r="B86" s="126" t="s">
        <v>334</v>
      </c>
      <c r="C86" s="2" t="s">
        <v>335</v>
      </c>
      <c r="D86" s="1">
        <v>353</v>
      </c>
      <c r="E86" s="283">
        <v>2060812</v>
      </c>
      <c r="F86" s="283">
        <v>2060812</v>
      </c>
      <c r="G86" s="301" t="s">
        <v>140</v>
      </c>
      <c r="H86" s="292">
        <v>0</v>
      </c>
      <c r="I86" s="292">
        <v>11046</v>
      </c>
      <c r="J86" s="292">
        <v>0</v>
      </c>
      <c r="K86" s="292">
        <v>11046</v>
      </c>
      <c r="L86" s="292">
        <v>-11046</v>
      </c>
    </row>
    <row r="87" spans="1:12" ht="15.75" customHeight="1" x14ac:dyDescent="0.25">
      <c r="A87" s="1" t="s">
        <v>329</v>
      </c>
      <c r="B87" s="126" t="s">
        <v>336</v>
      </c>
      <c r="C87" s="2" t="s">
        <v>337</v>
      </c>
      <c r="D87" s="1">
        <v>289</v>
      </c>
      <c r="E87" s="283">
        <v>15567</v>
      </c>
      <c r="F87" s="292">
        <v>0</v>
      </c>
      <c r="G87" s="301" t="s">
        <v>140</v>
      </c>
      <c r="H87" s="292">
        <v>15567</v>
      </c>
      <c r="I87" s="292">
        <v>0</v>
      </c>
      <c r="J87" s="292">
        <v>0</v>
      </c>
      <c r="K87" s="292">
        <v>0</v>
      </c>
      <c r="L87" s="292">
        <v>15567</v>
      </c>
    </row>
    <row r="88" spans="1:12" ht="15.75" customHeight="1" x14ac:dyDescent="0.25">
      <c r="A88" s="1" t="s">
        <v>329</v>
      </c>
      <c r="B88" s="126" t="s">
        <v>338</v>
      </c>
      <c r="C88" s="2" t="s">
        <v>339</v>
      </c>
      <c r="D88" s="1">
        <v>41</v>
      </c>
      <c r="E88" s="283">
        <v>1410809</v>
      </c>
      <c r="F88" s="292">
        <v>0</v>
      </c>
      <c r="G88" s="301" t="s">
        <v>140</v>
      </c>
      <c r="H88" s="292">
        <v>1410809</v>
      </c>
      <c r="I88" s="292">
        <v>0</v>
      </c>
      <c r="J88" s="292">
        <v>0</v>
      </c>
      <c r="K88" s="292">
        <v>0</v>
      </c>
      <c r="L88" s="292">
        <v>1410809</v>
      </c>
    </row>
    <row r="89" spans="1:12" ht="15.75" customHeight="1" x14ac:dyDescent="0.25">
      <c r="A89" s="1" t="s">
        <v>329</v>
      </c>
      <c r="B89" s="126" t="s">
        <v>324</v>
      </c>
      <c r="C89" s="2" t="s">
        <v>325</v>
      </c>
      <c r="D89" s="1">
        <v>314</v>
      </c>
      <c r="E89" s="283">
        <v>385904</v>
      </c>
      <c r="F89" s="283">
        <v>377417</v>
      </c>
      <c r="G89" s="301" t="s">
        <v>140</v>
      </c>
      <c r="H89" s="292">
        <v>8487</v>
      </c>
      <c r="I89" s="292">
        <v>0</v>
      </c>
      <c r="J89" s="292">
        <v>0</v>
      </c>
      <c r="K89" s="292">
        <v>0</v>
      </c>
      <c r="L89" s="292">
        <v>8487</v>
      </c>
    </row>
    <row r="90" spans="1:12" ht="15.75" customHeight="1" x14ac:dyDescent="0.25">
      <c r="A90" s="1" t="s">
        <v>329</v>
      </c>
      <c r="B90" s="126" t="s">
        <v>326</v>
      </c>
      <c r="C90" s="2" t="s">
        <v>327</v>
      </c>
      <c r="D90" s="1">
        <v>219</v>
      </c>
      <c r="E90" s="283">
        <v>14636054</v>
      </c>
      <c r="F90" s="292">
        <v>0</v>
      </c>
      <c r="G90" s="302"/>
      <c r="H90" s="294">
        <v>14636054</v>
      </c>
      <c r="I90" s="292">
        <v>0</v>
      </c>
      <c r="J90" s="292">
        <v>0</v>
      </c>
      <c r="K90" s="292">
        <v>0</v>
      </c>
      <c r="L90" s="294">
        <v>14636054</v>
      </c>
    </row>
    <row r="91" spans="1:12" x14ac:dyDescent="0.25">
      <c r="A91" s="1" t="s">
        <v>329</v>
      </c>
      <c r="B91" s="126" t="s">
        <v>306</v>
      </c>
      <c r="C91" s="2" t="s">
        <v>307</v>
      </c>
      <c r="D91" s="1">
        <v>187</v>
      </c>
      <c r="E91" s="283">
        <v>6025129</v>
      </c>
      <c r="F91" s="292">
        <v>0</v>
      </c>
      <c r="G91" s="301" t="s">
        <v>140</v>
      </c>
      <c r="H91" s="292">
        <v>6025129</v>
      </c>
      <c r="I91" s="292">
        <v>0</v>
      </c>
      <c r="J91" s="292">
        <v>0</v>
      </c>
      <c r="K91" s="292">
        <v>0</v>
      </c>
      <c r="L91" s="292">
        <v>6025129</v>
      </c>
    </row>
    <row r="92" spans="1:12" x14ac:dyDescent="0.25">
      <c r="A92" s="1" t="s">
        <v>329</v>
      </c>
      <c r="B92" s="126" t="s">
        <v>340</v>
      </c>
      <c r="C92" s="2" t="s">
        <v>341</v>
      </c>
      <c r="D92" s="1">
        <v>56</v>
      </c>
      <c r="E92" s="283">
        <v>1275498</v>
      </c>
      <c r="F92" s="292">
        <v>0</v>
      </c>
      <c r="G92" s="301" t="s">
        <v>140</v>
      </c>
      <c r="H92" s="292">
        <v>1275498</v>
      </c>
      <c r="I92" s="292">
        <v>0</v>
      </c>
      <c r="J92" s="292">
        <v>0</v>
      </c>
      <c r="K92" s="292">
        <v>0</v>
      </c>
      <c r="L92" s="292">
        <v>1275498</v>
      </c>
    </row>
    <row r="93" spans="1:12" x14ac:dyDescent="0.25">
      <c r="A93" s="199" t="s">
        <v>342</v>
      </c>
      <c r="B93" s="200" t="s">
        <v>140</v>
      </c>
      <c r="C93" s="200" t="s">
        <v>140</v>
      </c>
      <c r="D93" s="200" t="s">
        <v>140</v>
      </c>
      <c r="E93" s="293">
        <f>SUBTOTAL(109,local201011[Program
Costs])</f>
        <v>50625702</v>
      </c>
      <c r="F93" s="293">
        <f>SUBTOTAL(109,local201011[Less: Net Payments and Offsets1])</f>
        <v>2438229</v>
      </c>
      <c r="G93" s="341" t="s">
        <v>140</v>
      </c>
      <c r="H93" s="293">
        <f>SUBTOTAL(109,local201011[Account
Payable 
Balance])</f>
        <v>48187473</v>
      </c>
      <c r="I93" s="293">
        <f>SUBTOTAL(109,local201011[Established
Account 
Receivable])</f>
        <v>11046</v>
      </c>
      <c r="J93" s="293">
        <f>SUBTOTAL(109,local201011[Less: 
Recovered Amount])</f>
        <v>0</v>
      </c>
      <c r="K93" s="293">
        <f>SUBTOTAL(109,local201011[Account  Receivable
Balance])</f>
        <v>11046</v>
      </c>
      <c r="L93" s="293">
        <f>SUBTOTAL(109,local201011[Net
Balance])</f>
        <v>48176427</v>
      </c>
    </row>
    <row r="94" spans="1:12" x14ac:dyDescent="0.25">
      <c r="A94" s="195" t="s">
        <v>141</v>
      </c>
      <c r="B94" s="142"/>
      <c r="C94" s="142"/>
      <c r="D94" s="142"/>
      <c r="E94" s="26"/>
      <c r="F94" s="26"/>
      <c r="G94" s="196"/>
      <c r="H94" s="26"/>
      <c r="I94" s="26"/>
      <c r="J94" s="26"/>
      <c r="K94" s="26"/>
      <c r="L94" s="26"/>
    </row>
    <row r="95" spans="1:12" ht="50.25" x14ac:dyDescent="0.25">
      <c r="A95" s="12" t="s">
        <v>5</v>
      </c>
      <c r="B95" s="12" t="s">
        <v>6</v>
      </c>
      <c r="C95" s="12" t="s">
        <v>0</v>
      </c>
      <c r="D95" s="12" t="s">
        <v>139</v>
      </c>
      <c r="E95" s="189" t="s">
        <v>234</v>
      </c>
      <c r="F95" s="197" t="s">
        <v>310</v>
      </c>
      <c r="G95" s="198" t="s">
        <v>142</v>
      </c>
      <c r="H95" s="189" t="s">
        <v>301</v>
      </c>
      <c r="I95" s="189" t="s">
        <v>302</v>
      </c>
      <c r="J95" s="189" t="s">
        <v>303</v>
      </c>
      <c r="K95" s="189" t="s">
        <v>304</v>
      </c>
      <c r="L95" s="189" t="s">
        <v>305</v>
      </c>
    </row>
    <row r="96" spans="1:12" x14ac:dyDescent="0.25">
      <c r="A96" s="1" t="s">
        <v>343</v>
      </c>
      <c r="B96" s="126" t="s">
        <v>330</v>
      </c>
      <c r="C96" s="2" t="s">
        <v>331</v>
      </c>
      <c r="D96" s="1">
        <v>2</v>
      </c>
      <c r="E96" s="283">
        <v>24710823</v>
      </c>
      <c r="F96" s="292">
        <v>0</v>
      </c>
      <c r="G96" s="301" t="s">
        <v>140</v>
      </c>
      <c r="H96" s="292">
        <v>24710823</v>
      </c>
      <c r="I96" s="292">
        <v>0</v>
      </c>
      <c r="J96" s="292">
        <v>0</v>
      </c>
      <c r="K96" s="292">
        <v>0</v>
      </c>
      <c r="L96" s="292">
        <v>24710823</v>
      </c>
    </row>
    <row r="97" spans="1:12" ht="15" customHeight="1" x14ac:dyDescent="0.25">
      <c r="A97" s="1" t="s">
        <v>343</v>
      </c>
      <c r="B97" s="126" t="s">
        <v>332</v>
      </c>
      <c r="C97" s="2" t="s">
        <v>333</v>
      </c>
      <c r="D97" s="1">
        <v>248</v>
      </c>
      <c r="E97" s="283">
        <v>32562</v>
      </c>
      <c r="F97" s="292">
        <v>0</v>
      </c>
      <c r="G97" s="301" t="s">
        <v>140</v>
      </c>
      <c r="H97" s="292">
        <v>32562</v>
      </c>
      <c r="I97" s="292">
        <v>0</v>
      </c>
      <c r="J97" s="292">
        <v>0</v>
      </c>
      <c r="K97" s="292">
        <v>0</v>
      </c>
      <c r="L97" s="292">
        <v>32562</v>
      </c>
    </row>
    <row r="98" spans="1:12" x14ac:dyDescent="0.25">
      <c r="A98" s="1" t="s">
        <v>343</v>
      </c>
      <c r="B98" s="126" t="s">
        <v>344</v>
      </c>
      <c r="C98" s="2" t="s">
        <v>345</v>
      </c>
      <c r="D98" s="1">
        <v>213</v>
      </c>
      <c r="E98" s="283">
        <v>1542144</v>
      </c>
      <c r="F98" s="292">
        <v>0</v>
      </c>
      <c r="G98" s="301" t="s">
        <v>140</v>
      </c>
      <c r="H98" s="292">
        <v>1542144</v>
      </c>
      <c r="I98" s="292">
        <v>0</v>
      </c>
      <c r="J98" s="292">
        <v>0</v>
      </c>
      <c r="K98" s="292">
        <v>0</v>
      </c>
      <c r="L98" s="292">
        <v>1542144</v>
      </c>
    </row>
    <row r="99" spans="1:12" x14ac:dyDescent="0.25">
      <c r="A99" s="1" t="s">
        <v>343</v>
      </c>
      <c r="B99" s="126" t="s">
        <v>334</v>
      </c>
      <c r="C99" s="2" t="s">
        <v>335</v>
      </c>
      <c r="D99" s="1">
        <v>353</v>
      </c>
      <c r="E99" s="283">
        <v>1640194</v>
      </c>
      <c r="F99" s="283">
        <v>1640194</v>
      </c>
      <c r="G99" s="301" t="s">
        <v>140</v>
      </c>
      <c r="H99" s="292">
        <v>0</v>
      </c>
      <c r="I99" s="292">
        <v>9444</v>
      </c>
      <c r="J99" s="292">
        <v>0</v>
      </c>
      <c r="K99" s="292">
        <v>9444</v>
      </c>
      <c r="L99" s="292">
        <v>-9444</v>
      </c>
    </row>
    <row r="100" spans="1:12" ht="30.75" x14ac:dyDescent="0.25">
      <c r="A100" s="1" t="s">
        <v>343</v>
      </c>
      <c r="B100" s="126" t="s">
        <v>346</v>
      </c>
      <c r="C100" s="2" t="s">
        <v>347</v>
      </c>
      <c r="D100" s="1">
        <v>67</v>
      </c>
      <c r="E100" s="283">
        <v>12927</v>
      </c>
      <c r="F100" s="292">
        <v>0</v>
      </c>
      <c r="G100" s="301" t="s">
        <v>140</v>
      </c>
      <c r="H100" s="292">
        <v>12927</v>
      </c>
      <c r="I100" s="292">
        <v>0</v>
      </c>
      <c r="J100" s="292">
        <v>0</v>
      </c>
      <c r="K100" s="292">
        <v>0</v>
      </c>
      <c r="L100" s="292">
        <v>12927</v>
      </c>
    </row>
    <row r="101" spans="1:12" ht="15" customHeight="1" x14ac:dyDescent="0.25">
      <c r="A101" s="1" t="s">
        <v>343</v>
      </c>
      <c r="B101" s="126" t="s">
        <v>348</v>
      </c>
      <c r="C101" s="2" t="s">
        <v>349</v>
      </c>
      <c r="D101" s="1">
        <v>88</v>
      </c>
      <c r="E101" s="283">
        <v>8996</v>
      </c>
      <c r="F101" s="292">
        <v>0</v>
      </c>
      <c r="G101" s="301" t="s">
        <v>140</v>
      </c>
      <c r="H101" s="292">
        <v>8996</v>
      </c>
      <c r="I101" s="292">
        <v>0</v>
      </c>
      <c r="J101" s="292">
        <v>0</v>
      </c>
      <c r="K101" s="292">
        <v>0</v>
      </c>
      <c r="L101" s="292">
        <v>8996</v>
      </c>
    </row>
    <row r="102" spans="1:12" x14ac:dyDescent="0.25">
      <c r="A102" s="1" t="s">
        <v>343</v>
      </c>
      <c r="B102" s="126" t="s">
        <v>350</v>
      </c>
      <c r="C102" s="2" t="s">
        <v>351</v>
      </c>
      <c r="D102" s="1">
        <v>158</v>
      </c>
      <c r="E102" s="283">
        <v>25577</v>
      </c>
      <c r="F102" s="292">
        <v>0</v>
      </c>
      <c r="G102" s="301" t="s">
        <v>140</v>
      </c>
      <c r="H102" s="292">
        <v>25577</v>
      </c>
      <c r="I102" s="292">
        <v>0</v>
      </c>
      <c r="J102" s="292">
        <v>0</v>
      </c>
      <c r="K102" s="292">
        <v>0</v>
      </c>
      <c r="L102" s="292">
        <v>25577</v>
      </c>
    </row>
    <row r="103" spans="1:12" ht="30.75" x14ac:dyDescent="0.25">
      <c r="A103" s="1" t="s">
        <v>343</v>
      </c>
      <c r="B103" s="126" t="s">
        <v>352</v>
      </c>
      <c r="C103" s="2" t="s">
        <v>353</v>
      </c>
      <c r="D103" s="1">
        <v>87</v>
      </c>
      <c r="E103" s="283">
        <v>40390</v>
      </c>
      <c r="F103" s="292">
        <v>0</v>
      </c>
      <c r="G103" s="301" t="s">
        <v>140</v>
      </c>
      <c r="H103" s="292">
        <v>40390</v>
      </c>
      <c r="I103" s="292">
        <v>0</v>
      </c>
      <c r="J103" s="292">
        <v>0</v>
      </c>
      <c r="K103" s="292">
        <v>0</v>
      </c>
      <c r="L103" s="292">
        <v>40390</v>
      </c>
    </row>
    <row r="104" spans="1:12" x14ac:dyDescent="0.25">
      <c r="A104" s="1" t="s">
        <v>343</v>
      </c>
      <c r="B104" s="126" t="s">
        <v>336</v>
      </c>
      <c r="C104" s="2" t="s">
        <v>337</v>
      </c>
      <c r="D104" s="1">
        <v>289</v>
      </c>
      <c r="E104" s="283">
        <v>20569</v>
      </c>
      <c r="F104" s="292">
        <v>0</v>
      </c>
      <c r="G104" s="301" t="s">
        <v>140</v>
      </c>
      <c r="H104" s="292">
        <v>20569</v>
      </c>
      <c r="I104" s="292">
        <v>0</v>
      </c>
      <c r="J104" s="292">
        <v>0</v>
      </c>
      <c r="K104" s="292">
        <v>0</v>
      </c>
      <c r="L104" s="292">
        <v>20569</v>
      </c>
    </row>
    <row r="105" spans="1:12" ht="15" customHeight="1" x14ac:dyDescent="0.25">
      <c r="A105" s="1" t="s">
        <v>343</v>
      </c>
      <c r="B105" s="126" t="s">
        <v>354</v>
      </c>
      <c r="C105" s="2" t="s">
        <v>355</v>
      </c>
      <c r="D105" s="1">
        <v>300</v>
      </c>
      <c r="E105" s="283">
        <v>7017</v>
      </c>
      <c r="F105" s="292">
        <v>0</v>
      </c>
      <c r="G105" s="301" t="s">
        <v>140</v>
      </c>
      <c r="H105" s="292">
        <v>7017</v>
      </c>
      <c r="I105" s="292">
        <v>0</v>
      </c>
      <c r="J105" s="292">
        <v>0</v>
      </c>
      <c r="K105" s="292">
        <v>0</v>
      </c>
      <c r="L105" s="292">
        <v>7017</v>
      </c>
    </row>
    <row r="106" spans="1:12" ht="30.75" customHeight="1" x14ac:dyDescent="0.25">
      <c r="A106" s="1" t="s">
        <v>343</v>
      </c>
      <c r="B106" s="126" t="s">
        <v>338</v>
      </c>
      <c r="C106" s="2" t="s">
        <v>339</v>
      </c>
      <c r="D106" s="1">
        <v>41</v>
      </c>
      <c r="E106" s="283">
        <v>5475418</v>
      </c>
      <c r="F106" s="292">
        <v>0</v>
      </c>
      <c r="G106" s="301" t="s">
        <v>140</v>
      </c>
      <c r="H106" s="292">
        <v>5475418</v>
      </c>
      <c r="I106" s="292">
        <v>0</v>
      </c>
      <c r="J106" s="292">
        <v>0</v>
      </c>
      <c r="K106" s="292">
        <v>0</v>
      </c>
      <c r="L106" s="292">
        <v>5475418</v>
      </c>
    </row>
    <row r="107" spans="1:12" ht="30.75" customHeight="1" x14ac:dyDescent="0.25">
      <c r="A107" s="1" t="s">
        <v>343</v>
      </c>
      <c r="B107" s="126" t="s">
        <v>356</v>
      </c>
      <c r="C107" s="2" t="s">
        <v>357</v>
      </c>
      <c r="D107" s="1">
        <v>203</v>
      </c>
      <c r="E107" s="283">
        <v>219819</v>
      </c>
      <c r="F107" s="292">
        <v>0</v>
      </c>
      <c r="G107" s="301" t="s">
        <v>140</v>
      </c>
      <c r="H107" s="292">
        <v>219819</v>
      </c>
      <c r="I107" s="292">
        <v>0</v>
      </c>
      <c r="J107" s="292">
        <v>0</v>
      </c>
      <c r="K107" s="292">
        <v>0</v>
      </c>
      <c r="L107" s="292">
        <v>219819</v>
      </c>
    </row>
    <row r="108" spans="1:12" ht="30.75" x14ac:dyDescent="0.25">
      <c r="A108" s="1" t="s">
        <v>343</v>
      </c>
      <c r="B108" s="126" t="s">
        <v>358</v>
      </c>
      <c r="C108" s="2" t="s">
        <v>359</v>
      </c>
      <c r="D108" s="1">
        <v>39</v>
      </c>
      <c r="E108" s="283">
        <v>3011</v>
      </c>
      <c r="F108" s="292">
        <v>0</v>
      </c>
      <c r="G108" s="301" t="s">
        <v>140</v>
      </c>
      <c r="H108" s="292">
        <v>3011</v>
      </c>
      <c r="I108" s="292">
        <v>0</v>
      </c>
      <c r="J108" s="292">
        <v>0</v>
      </c>
      <c r="K108" s="292">
        <v>0</v>
      </c>
      <c r="L108" s="292">
        <v>3011</v>
      </c>
    </row>
    <row r="109" spans="1:12" x14ac:dyDescent="0.25">
      <c r="A109" s="1" t="s">
        <v>343</v>
      </c>
      <c r="B109" s="126" t="s">
        <v>360</v>
      </c>
      <c r="C109" s="2" t="s">
        <v>361</v>
      </c>
      <c r="D109" s="1">
        <v>66</v>
      </c>
      <c r="E109" s="283">
        <v>1345</v>
      </c>
      <c r="F109" s="292">
        <v>0</v>
      </c>
      <c r="G109" s="301" t="s">
        <v>140</v>
      </c>
      <c r="H109" s="292">
        <v>1345</v>
      </c>
      <c r="I109" s="292">
        <v>0</v>
      </c>
      <c r="J109" s="292">
        <v>0</v>
      </c>
      <c r="K109" s="292">
        <v>0</v>
      </c>
      <c r="L109" s="292">
        <v>1345</v>
      </c>
    </row>
    <row r="110" spans="1:12" ht="15.75" customHeight="1" x14ac:dyDescent="0.25">
      <c r="A110" s="1" t="s">
        <v>343</v>
      </c>
      <c r="B110" s="126" t="s">
        <v>324</v>
      </c>
      <c r="C110" s="2" t="s">
        <v>325</v>
      </c>
      <c r="D110" s="1">
        <v>314</v>
      </c>
      <c r="E110" s="283">
        <v>396374</v>
      </c>
      <c r="F110" s="283">
        <v>387912</v>
      </c>
      <c r="G110" s="301" t="s">
        <v>140</v>
      </c>
      <c r="H110" s="292">
        <v>8462</v>
      </c>
      <c r="I110" s="292">
        <v>0</v>
      </c>
      <c r="J110" s="292">
        <v>0</v>
      </c>
      <c r="K110" s="292">
        <v>0</v>
      </c>
      <c r="L110" s="292">
        <v>8462</v>
      </c>
    </row>
    <row r="111" spans="1:12" x14ac:dyDescent="0.25">
      <c r="A111" s="1" t="s">
        <v>343</v>
      </c>
      <c r="B111" s="126" t="s">
        <v>362</v>
      </c>
      <c r="C111" s="2" t="s">
        <v>363</v>
      </c>
      <c r="D111" s="1">
        <v>200</v>
      </c>
      <c r="E111" s="283">
        <v>120902</v>
      </c>
      <c r="F111" s="292">
        <v>0</v>
      </c>
      <c r="G111" s="301" t="s">
        <v>140</v>
      </c>
      <c r="H111" s="292">
        <v>120902</v>
      </c>
      <c r="I111" s="292">
        <v>0</v>
      </c>
      <c r="J111" s="292">
        <v>0</v>
      </c>
      <c r="K111" s="292">
        <v>0</v>
      </c>
      <c r="L111" s="292">
        <v>120902</v>
      </c>
    </row>
    <row r="112" spans="1:12" ht="15.75" customHeight="1" x14ac:dyDescent="0.25">
      <c r="A112" s="1" t="s">
        <v>343</v>
      </c>
      <c r="B112" s="126" t="s">
        <v>326</v>
      </c>
      <c r="C112" s="2" t="s">
        <v>327</v>
      </c>
      <c r="D112" s="1">
        <v>219</v>
      </c>
      <c r="E112" s="283">
        <v>15411645</v>
      </c>
      <c r="F112" s="292">
        <v>0</v>
      </c>
      <c r="G112" s="301" t="s">
        <v>140</v>
      </c>
      <c r="H112" s="292">
        <v>15411645</v>
      </c>
      <c r="I112" s="292">
        <v>0</v>
      </c>
      <c r="J112" s="292">
        <v>0</v>
      </c>
      <c r="K112" s="292">
        <v>0</v>
      </c>
      <c r="L112" s="292">
        <v>15411645</v>
      </c>
    </row>
    <row r="113" spans="1:12" ht="30.75" x14ac:dyDescent="0.25">
      <c r="A113" s="1" t="s">
        <v>343</v>
      </c>
      <c r="B113" s="126" t="s">
        <v>364</v>
      </c>
      <c r="C113" s="2" t="s">
        <v>365</v>
      </c>
      <c r="D113" s="1">
        <v>122</v>
      </c>
      <c r="E113" s="283">
        <v>1466</v>
      </c>
      <c r="F113" s="292">
        <v>0</v>
      </c>
      <c r="G113" s="301" t="s">
        <v>140</v>
      </c>
      <c r="H113" s="292">
        <v>1466</v>
      </c>
      <c r="I113" s="292">
        <v>0</v>
      </c>
      <c r="J113" s="292">
        <v>0</v>
      </c>
      <c r="K113" s="292">
        <v>0</v>
      </c>
      <c r="L113" s="292">
        <v>1466</v>
      </c>
    </row>
    <row r="114" spans="1:12" x14ac:dyDescent="0.25">
      <c r="A114" s="1" t="s">
        <v>343</v>
      </c>
      <c r="B114" s="126" t="s">
        <v>306</v>
      </c>
      <c r="C114" s="2" t="s">
        <v>307</v>
      </c>
      <c r="D114" s="1">
        <v>187</v>
      </c>
      <c r="E114" s="283">
        <v>6503704</v>
      </c>
      <c r="F114" s="292">
        <v>0</v>
      </c>
      <c r="G114" s="301" t="s">
        <v>140</v>
      </c>
      <c r="H114" s="292">
        <v>6503704</v>
      </c>
      <c r="I114" s="292">
        <v>0</v>
      </c>
      <c r="J114" s="292">
        <v>0</v>
      </c>
      <c r="K114" s="292">
        <v>0</v>
      </c>
      <c r="L114" s="292">
        <v>6503704</v>
      </c>
    </row>
    <row r="115" spans="1:12" x14ac:dyDescent="0.25">
      <c r="A115" s="1" t="s">
        <v>343</v>
      </c>
      <c r="B115" s="126" t="s">
        <v>366</v>
      </c>
      <c r="C115" s="2" t="s">
        <v>367</v>
      </c>
      <c r="D115" s="1">
        <v>124</v>
      </c>
      <c r="E115" s="283">
        <v>47464</v>
      </c>
      <c r="F115" s="292">
        <v>0</v>
      </c>
      <c r="G115" s="301" t="s">
        <v>140</v>
      </c>
      <c r="H115" s="292">
        <v>47464</v>
      </c>
      <c r="I115" s="292">
        <v>0</v>
      </c>
      <c r="J115" s="292">
        <v>0</v>
      </c>
      <c r="K115" s="292">
        <v>0</v>
      </c>
      <c r="L115" s="292">
        <v>47464</v>
      </c>
    </row>
    <row r="116" spans="1:12" x14ac:dyDescent="0.25">
      <c r="A116" s="1" t="s">
        <v>343</v>
      </c>
      <c r="B116" s="126" t="s">
        <v>368</v>
      </c>
      <c r="C116" s="2" t="s">
        <v>369</v>
      </c>
      <c r="D116" s="1">
        <v>83</v>
      </c>
      <c r="E116" s="283">
        <v>1310491</v>
      </c>
      <c r="F116" s="292">
        <v>0</v>
      </c>
      <c r="G116" s="301" t="s">
        <v>140</v>
      </c>
      <c r="H116" s="292">
        <v>1310491</v>
      </c>
      <c r="I116" s="292">
        <v>0</v>
      </c>
      <c r="J116" s="292">
        <v>0</v>
      </c>
      <c r="K116" s="292">
        <v>0</v>
      </c>
      <c r="L116" s="292">
        <v>1310491</v>
      </c>
    </row>
    <row r="117" spans="1:12" x14ac:dyDescent="0.25">
      <c r="A117" s="1" t="s">
        <v>343</v>
      </c>
      <c r="B117" s="126" t="s">
        <v>370</v>
      </c>
      <c r="C117" s="2" t="s">
        <v>371</v>
      </c>
      <c r="D117" s="1">
        <v>215</v>
      </c>
      <c r="E117" s="283">
        <v>2177</v>
      </c>
      <c r="F117" s="292">
        <v>0</v>
      </c>
      <c r="G117" s="301" t="s">
        <v>140</v>
      </c>
      <c r="H117" s="292">
        <v>2177</v>
      </c>
      <c r="I117" s="292">
        <v>0</v>
      </c>
      <c r="J117" s="292">
        <v>0</v>
      </c>
      <c r="K117" s="292">
        <v>0</v>
      </c>
      <c r="L117" s="292">
        <v>2177</v>
      </c>
    </row>
    <row r="118" spans="1:12" x14ac:dyDescent="0.25">
      <c r="A118" s="1" t="s">
        <v>343</v>
      </c>
      <c r="B118" s="126" t="s">
        <v>372</v>
      </c>
      <c r="C118" s="2" t="s">
        <v>373</v>
      </c>
      <c r="D118" s="1">
        <v>279</v>
      </c>
      <c r="E118" s="283">
        <v>7804</v>
      </c>
      <c r="F118" s="292">
        <v>0</v>
      </c>
      <c r="G118" s="301" t="s">
        <v>140</v>
      </c>
      <c r="H118" s="292">
        <v>7804</v>
      </c>
      <c r="I118" s="292">
        <v>0</v>
      </c>
      <c r="J118" s="292">
        <v>0</v>
      </c>
      <c r="K118" s="292">
        <v>0</v>
      </c>
      <c r="L118" s="292">
        <v>7804</v>
      </c>
    </row>
    <row r="119" spans="1:12" x14ac:dyDescent="0.25">
      <c r="A119" s="1" t="s">
        <v>343</v>
      </c>
      <c r="B119" s="126" t="s">
        <v>374</v>
      </c>
      <c r="C119" s="2" t="s">
        <v>375</v>
      </c>
      <c r="D119" s="1">
        <v>73</v>
      </c>
      <c r="E119" s="283">
        <v>48090</v>
      </c>
      <c r="F119" s="292">
        <v>0</v>
      </c>
      <c r="G119" s="302"/>
      <c r="H119" s="294">
        <v>48090</v>
      </c>
      <c r="I119" s="292">
        <v>0</v>
      </c>
      <c r="J119" s="292">
        <v>0</v>
      </c>
      <c r="K119" s="292">
        <v>0</v>
      </c>
      <c r="L119" s="294">
        <v>48090</v>
      </c>
    </row>
    <row r="120" spans="1:12" x14ac:dyDescent="0.25">
      <c r="A120" s="1" t="s">
        <v>343</v>
      </c>
      <c r="B120" s="126" t="s">
        <v>376</v>
      </c>
      <c r="C120" s="2" t="s">
        <v>377</v>
      </c>
      <c r="D120" s="1">
        <v>120</v>
      </c>
      <c r="E120" s="283">
        <v>13379</v>
      </c>
      <c r="F120" s="292">
        <v>0</v>
      </c>
      <c r="G120" s="301" t="s">
        <v>140</v>
      </c>
      <c r="H120" s="292">
        <v>13379</v>
      </c>
      <c r="I120" s="292">
        <v>0</v>
      </c>
      <c r="J120" s="292">
        <v>0</v>
      </c>
      <c r="K120" s="292">
        <v>0</v>
      </c>
      <c r="L120" s="292">
        <v>13379</v>
      </c>
    </row>
    <row r="121" spans="1:12" x14ac:dyDescent="0.25">
      <c r="A121" s="1" t="s">
        <v>343</v>
      </c>
      <c r="B121" s="126" t="s">
        <v>340</v>
      </c>
      <c r="C121" s="2" t="s">
        <v>341</v>
      </c>
      <c r="D121" s="1">
        <v>56</v>
      </c>
      <c r="E121" s="283">
        <v>1205598</v>
      </c>
      <c r="F121" s="292">
        <v>0</v>
      </c>
      <c r="G121" s="301" t="s">
        <v>140</v>
      </c>
      <c r="H121" s="292">
        <v>1205598</v>
      </c>
      <c r="I121" s="292">
        <v>0</v>
      </c>
      <c r="J121" s="292">
        <v>0</v>
      </c>
      <c r="K121" s="292">
        <v>0</v>
      </c>
      <c r="L121" s="292">
        <v>1205598</v>
      </c>
    </row>
    <row r="122" spans="1:12" x14ac:dyDescent="0.25">
      <c r="A122" s="199" t="s">
        <v>378</v>
      </c>
      <c r="B122" s="200" t="s">
        <v>140</v>
      </c>
      <c r="C122" s="200" t="s">
        <v>140</v>
      </c>
      <c r="D122" s="200" t="s">
        <v>140</v>
      </c>
      <c r="E122" s="293">
        <f>SUBTOTAL(109,local200910[Program
Costs])</f>
        <v>58809886</v>
      </c>
      <c r="F122" s="293">
        <f>SUBTOTAL(109,local200910[Less: Net Payments and Offsets1])</f>
        <v>2028106</v>
      </c>
      <c r="G122" s="341" t="s">
        <v>140</v>
      </c>
      <c r="H122" s="293">
        <f>SUBTOTAL(109,local200910[Account
Payable 
Balance])</f>
        <v>56781780</v>
      </c>
      <c r="I122" s="293">
        <f>SUBTOTAL(109,local200910[Established
Account 
Receivable])</f>
        <v>9444</v>
      </c>
      <c r="J122" s="293">
        <f>SUBTOTAL(109,local200910[Less: 
Recovered Amount])</f>
        <v>0</v>
      </c>
      <c r="K122" s="293">
        <f>SUBTOTAL(109,local200910[Account  Receivable
Balance])</f>
        <v>9444</v>
      </c>
      <c r="L122" s="293">
        <f>SUBTOTAL(109,local200910[Net
Balance])</f>
        <v>56772336</v>
      </c>
    </row>
    <row r="123" spans="1:12" x14ac:dyDescent="0.25">
      <c r="A123" s="195" t="s">
        <v>141</v>
      </c>
      <c r="B123" s="142"/>
      <c r="C123" s="142"/>
      <c r="D123" s="142"/>
      <c r="E123" s="26"/>
      <c r="F123" s="26"/>
      <c r="G123" s="196"/>
      <c r="H123" s="26"/>
      <c r="I123" s="26"/>
      <c r="J123" s="26"/>
      <c r="K123" s="26"/>
      <c r="L123" s="26"/>
    </row>
    <row r="124" spans="1:12" ht="50.25" x14ac:dyDescent="0.25">
      <c r="A124" s="12" t="s">
        <v>5</v>
      </c>
      <c r="B124" s="12" t="s">
        <v>6</v>
      </c>
      <c r="C124" s="12" t="s">
        <v>0</v>
      </c>
      <c r="D124" s="12" t="s">
        <v>139</v>
      </c>
      <c r="E124" s="189" t="s">
        <v>234</v>
      </c>
      <c r="F124" s="197" t="s">
        <v>310</v>
      </c>
      <c r="G124" s="198" t="s">
        <v>142</v>
      </c>
      <c r="H124" s="189" t="s">
        <v>301</v>
      </c>
      <c r="I124" s="189" t="s">
        <v>302</v>
      </c>
      <c r="J124" s="189" t="s">
        <v>303</v>
      </c>
      <c r="K124" s="189" t="s">
        <v>304</v>
      </c>
      <c r="L124" s="189" t="s">
        <v>305</v>
      </c>
    </row>
    <row r="125" spans="1:12" x14ac:dyDescent="0.25">
      <c r="A125" s="1" t="s">
        <v>379</v>
      </c>
      <c r="B125" s="126" t="s">
        <v>344</v>
      </c>
      <c r="C125" s="2" t="s">
        <v>345</v>
      </c>
      <c r="D125" s="1">
        <v>213</v>
      </c>
      <c r="E125" s="283">
        <v>19859110</v>
      </c>
      <c r="F125" s="292">
        <v>0</v>
      </c>
      <c r="G125" s="301" t="s">
        <v>140</v>
      </c>
      <c r="H125" s="292">
        <v>19859110</v>
      </c>
      <c r="I125" s="292">
        <v>0</v>
      </c>
      <c r="J125" s="292">
        <v>0</v>
      </c>
      <c r="K125" s="292">
        <v>0</v>
      </c>
      <c r="L125" s="292">
        <v>19859110</v>
      </c>
    </row>
    <row r="126" spans="1:12" x14ac:dyDescent="0.25">
      <c r="A126" s="1" t="s">
        <v>379</v>
      </c>
      <c r="B126" s="126" t="s">
        <v>334</v>
      </c>
      <c r="C126" s="2" t="s">
        <v>335</v>
      </c>
      <c r="D126" s="1">
        <v>353</v>
      </c>
      <c r="E126" s="283">
        <v>1558731</v>
      </c>
      <c r="F126" s="283">
        <v>1558731</v>
      </c>
      <c r="G126" s="301" t="s">
        <v>140</v>
      </c>
      <c r="H126" s="292">
        <v>0</v>
      </c>
      <c r="I126" s="292">
        <v>7837</v>
      </c>
      <c r="J126" s="292">
        <v>0</v>
      </c>
      <c r="K126" s="292">
        <v>7837</v>
      </c>
      <c r="L126" s="292">
        <v>-7837</v>
      </c>
    </row>
    <row r="127" spans="1:12" ht="15" customHeight="1" x14ac:dyDescent="0.25">
      <c r="A127" s="1" t="s">
        <v>379</v>
      </c>
      <c r="B127" s="126" t="s">
        <v>346</v>
      </c>
      <c r="C127" s="2" t="s">
        <v>347</v>
      </c>
      <c r="D127" s="1">
        <v>67</v>
      </c>
      <c r="E127" s="283">
        <v>171702</v>
      </c>
      <c r="F127" s="292">
        <v>0</v>
      </c>
      <c r="G127" s="301" t="s">
        <v>140</v>
      </c>
      <c r="H127" s="292">
        <v>171702</v>
      </c>
      <c r="I127" s="292">
        <v>0</v>
      </c>
      <c r="J127" s="292">
        <v>0</v>
      </c>
      <c r="K127" s="292">
        <v>0</v>
      </c>
      <c r="L127" s="292">
        <v>171702</v>
      </c>
    </row>
    <row r="128" spans="1:12" x14ac:dyDescent="0.25">
      <c r="A128" s="1" t="s">
        <v>379</v>
      </c>
      <c r="B128" s="126" t="s">
        <v>348</v>
      </c>
      <c r="C128" s="2" t="s">
        <v>349</v>
      </c>
      <c r="D128" s="1">
        <v>88</v>
      </c>
      <c r="E128" s="283">
        <v>113089</v>
      </c>
      <c r="F128" s="292">
        <v>0</v>
      </c>
      <c r="G128" s="301" t="s">
        <v>140</v>
      </c>
      <c r="H128" s="292">
        <v>113089</v>
      </c>
      <c r="I128" s="292">
        <v>0</v>
      </c>
      <c r="J128" s="292">
        <v>0</v>
      </c>
      <c r="K128" s="292">
        <v>0</v>
      </c>
      <c r="L128" s="292">
        <v>113089</v>
      </c>
    </row>
    <row r="129" spans="1:12" x14ac:dyDescent="0.25">
      <c r="A129" s="1" t="s">
        <v>379</v>
      </c>
      <c r="B129" s="126" t="s">
        <v>350</v>
      </c>
      <c r="C129" s="2" t="s">
        <v>351</v>
      </c>
      <c r="D129" s="1">
        <v>158</v>
      </c>
      <c r="E129" s="283">
        <v>363356</v>
      </c>
      <c r="F129" s="292">
        <v>0</v>
      </c>
      <c r="G129" s="301" t="s">
        <v>140</v>
      </c>
      <c r="H129" s="292">
        <v>363356</v>
      </c>
      <c r="I129" s="292">
        <v>0</v>
      </c>
      <c r="J129" s="292">
        <v>0</v>
      </c>
      <c r="K129" s="292">
        <v>0</v>
      </c>
      <c r="L129" s="292">
        <v>363356</v>
      </c>
    </row>
    <row r="130" spans="1:12" ht="15" customHeight="1" x14ac:dyDescent="0.25">
      <c r="A130" s="1" t="s">
        <v>379</v>
      </c>
      <c r="B130" s="126" t="s">
        <v>352</v>
      </c>
      <c r="C130" s="2" t="s">
        <v>353</v>
      </c>
      <c r="D130" s="1">
        <v>87</v>
      </c>
      <c r="E130" s="283">
        <v>567312</v>
      </c>
      <c r="F130" s="292">
        <v>0</v>
      </c>
      <c r="G130" s="301" t="s">
        <v>140</v>
      </c>
      <c r="H130" s="292">
        <v>567312</v>
      </c>
      <c r="I130" s="292">
        <v>0</v>
      </c>
      <c r="J130" s="292">
        <v>0</v>
      </c>
      <c r="K130" s="292">
        <v>0</v>
      </c>
      <c r="L130" s="292">
        <v>567312</v>
      </c>
    </row>
    <row r="131" spans="1:12" ht="15.75" customHeight="1" x14ac:dyDescent="0.25">
      <c r="A131" s="1" t="s">
        <v>379</v>
      </c>
      <c r="B131" s="126" t="s">
        <v>380</v>
      </c>
      <c r="C131" s="2" t="s">
        <v>381</v>
      </c>
      <c r="D131" s="1">
        <v>266</v>
      </c>
      <c r="E131" s="283">
        <v>146180</v>
      </c>
      <c r="F131" s="292">
        <v>0</v>
      </c>
      <c r="G131" s="301" t="s">
        <v>140</v>
      </c>
      <c r="H131" s="292">
        <v>146180</v>
      </c>
      <c r="I131" s="292">
        <v>0</v>
      </c>
      <c r="J131" s="292">
        <v>0</v>
      </c>
      <c r="K131" s="292">
        <v>0</v>
      </c>
      <c r="L131" s="292">
        <v>146180</v>
      </c>
    </row>
    <row r="132" spans="1:12" x14ac:dyDescent="0.25">
      <c r="A132" s="1" t="s">
        <v>379</v>
      </c>
      <c r="B132" s="126" t="s">
        <v>382</v>
      </c>
      <c r="C132" s="2" t="s">
        <v>383</v>
      </c>
      <c r="D132" s="1">
        <v>257</v>
      </c>
      <c r="E132" s="283">
        <v>4297</v>
      </c>
      <c r="F132" s="292">
        <v>0</v>
      </c>
      <c r="G132" s="301" t="s">
        <v>140</v>
      </c>
      <c r="H132" s="292">
        <v>4297</v>
      </c>
      <c r="I132" s="292">
        <v>0</v>
      </c>
      <c r="J132" s="292">
        <v>0</v>
      </c>
      <c r="K132" s="292">
        <v>0</v>
      </c>
      <c r="L132" s="292">
        <v>4297</v>
      </c>
    </row>
    <row r="133" spans="1:12" ht="15" customHeight="1" x14ac:dyDescent="0.25">
      <c r="A133" s="1" t="s">
        <v>379</v>
      </c>
      <c r="B133" s="126" t="s">
        <v>384</v>
      </c>
      <c r="C133" s="2" t="s">
        <v>385</v>
      </c>
      <c r="D133" s="1">
        <v>35</v>
      </c>
      <c r="E133" s="283">
        <v>139227</v>
      </c>
      <c r="F133" s="292">
        <v>0</v>
      </c>
      <c r="G133" s="301" t="s">
        <v>140</v>
      </c>
      <c r="H133" s="292">
        <v>139227</v>
      </c>
      <c r="I133" s="292">
        <v>0</v>
      </c>
      <c r="J133" s="292">
        <v>0</v>
      </c>
      <c r="K133" s="292">
        <v>0</v>
      </c>
      <c r="L133" s="292">
        <v>139227</v>
      </c>
    </row>
    <row r="134" spans="1:12" ht="30.75" customHeight="1" x14ac:dyDescent="0.25">
      <c r="A134" s="1" t="s">
        <v>379</v>
      </c>
      <c r="B134" s="126" t="s">
        <v>356</v>
      </c>
      <c r="C134" s="2" t="s">
        <v>357</v>
      </c>
      <c r="D134" s="1">
        <v>203</v>
      </c>
      <c r="E134" s="283">
        <v>3802424</v>
      </c>
      <c r="F134" s="292">
        <v>0</v>
      </c>
      <c r="G134" s="301" t="s">
        <v>140</v>
      </c>
      <c r="H134" s="292">
        <v>3802424</v>
      </c>
      <c r="I134" s="292">
        <v>0</v>
      </c>
      <c r="J134" s="292">
        <v>0</v>
      </c>
      <c r="K134" s="292">
        <v>0</v>
      </c>
      <c r="L134" s="292">
        <v>3802424</v>
      </c>
    </row>
    <row r="135" spans="1:12" ht="30.75" x14ac:dyDescent="0.25">
      <c r="A135" s="1" t="s">
        <v>379</v>
      </c>
      <c r="B135" s="126" t="s">
        <v>358</v>
      </c>
      <c r="C135" s="2" t="s">
        <v>359</v>
      </c>
      <c r="D135" s="1">
        <v>39</v>
      </c>
      <c r="E135" s="283">
        <v>40980</v>
      </c>
      <c r="F135" s="292">
        <v>0</v>
      </c>
      <c r="G135" s="301" t="s">
        <v>140</v>
      </c>
      <c r="H135" s="292">
        <v>40980</v>
      </c>
      <c r="I135" s="292">
        <v>0</v>
      </c>
      <c r="J135" s="292">
        <v>0</v>
      </c>
      <c r="K135" s="292">
        <v>0</v>
      </c>
      <c r="L135" s="292">
        <v>40980</v>
      </c>
    </row>
    <row r="136" spans="1:12" x14ac:dyDescent="0.25">
      <c r="A136" s="1" t="s">
        <v>379</v>
      </c>
      <c r="B136" s="126" t="s">
        <v>360</v>
      </c>
      <c r="C136" s="2" t="s">
        <v>361</v>
      </c>
      <c r="D136" s="1">
        <v>66</v>
      </c>
      <c r="E136" s="283">
        <v>17862</v>
      </c>
      <c r="F136" s="292">
        <v>0</v>
      </c>
      <c r="G136" s="301" t="s">
        <v>140</v>
      </c>
      <c r="H136" s="292">
        <v>17862</v>
      </c>
      <c r="I136" s="292">
        <v>0</v>
      </c>
      <c r="J136" s="292">
        <v>0</v>
      </c>
      <c r="K136" s="292">
        <v>0</v>
      </c>
      <c r="L136" s="292">
        <v>17862</v>
      </c>
    </row>
    <row r="137" spans="1:12" ht="15.75" customHeight="1" x14ac:dyDescent="0.25">
      <c r="A137" s="1" t="s">
        <v>379</v>
      </c>
      <c r="B137" s="126" t="s">
        <v>324</v>
      </c>
      <c r="C137" s="2" t="s">
        <v>325</v>
      </c>
      <c r="D137" s="1">
        <v>314</v>
      </c>
      <c r="E137" s="283">
        <v>541684</v>
      </c>
      <c r="F137" s="283">
        <v>533273</v>
      </c>
      <c r="G137" s="301" t="s">
        <v>140</v>
      </c>
      <c r="H137" s="292">
        <v>8411</v>
      </c>
      <c r="I137" s="292">
        <v>0</v>
      </c>
      <c r="J137" s="292">
        <v>0</v>
      </c>
      <c r="K137" s="292">
        <v>0</v>
      </c>
      <c r="L137" s="292">
        <v>8411</v>
      </c>
    </row>
    <row r="138" spans="1:12" x14ac:dyDescent="0.25">
      <c r="A138" s="1" t="s">
        <v>379</v>
      </c>
      <c r="B138" s="126" t="s">
        <v>362</v>
      </c>
      <c r="C138" s="2" t="s">
        <v>363</v>
      </c>
      <c r="D138" s="1">
        <v>200</v>
      </c>
      <c r="E138" s="283">
        <v>2749480</v>
      </c>
      <c r="F138" s="292">
        <v>0</v>
      </c>
      <c r="G138" s="301" t="s">
        <v>140</v>
      </c>
      <c r="H138" s="292">
        <v>2749480</v>
      </c>
      <c r="I138" s="292">
        <v>0</v>
      </c>
      <c r="J138" s="292">
        <v>0</v>
      </c>
      <c r="K138" s="292">
        <v>0</v>
      </c>
      <c r="L138" s="292">
        <v>2749480</v>
      </c>
    </row>
    <row r="139" spans="1:12" ht="15.75" customHeight="1" x14ac:dyDescent="0.25">
      <c r="A139" s="1" t="s">
        <v>379</v>
      </c>
      <c r="B139" s="126" t="s">
        <v>326</v>
      </c>
      <c r="C139" s="2" t="s">
        <v>327</v>
      </c>
      <c r="D139" s="1">
        <v>219</v>
      </c>
      <c r="E139" s="283">
        <v>15673543</v>
      </c>
      <c r="F139" s="292">
        <v>0</v>
      </c>
      <c r="G139" s="301" t="s">
        <v>140</v>
      </c>
      <c r="H139" s="292">
        <v>15673543</v>
      </c>
      <c r="I139" s="292">
        <v>0</v>
      </c>
      <c r="J139" s="292">
        <v>0</v>
      </c>
      <c r="K139" s="292">
        <v>0</v>
      </c>
      <c r="L139" s="292">
        <v>15673543</v>
      </c>
    </row>
    <row r="140" spans="1:12" ht="30.75" x14ac:dyDescent="0.25">
      <c r="A140" s="1" t="s">
        <v>379</v>
      </c>
      <c r="B140" s="126" t="s">
        <v>364</v>
      </c>
      <c r="C140" s="2" t="s">
        <v>365</v>
      </c>
      <c r="D140" s="1">
        <v>122</v>
      </c>
      <c r="E140" s="283">
        <v>64851</v>
      </c>
      <c r="F140" s="292">
        <v>0</v>
      </c>
      <c r="G140" s="301" t="s">
        <v>140</v>
      </c>
      <c r="H140" s="292">
        <v>64851</v>
      </c>
      <c r="I140" s="292">
        <v>0</v>
      </c>
      <c r="J140" s="292">
        <v>0</v>
      </c>
      <c r="K140" s="292">
        <v>0</v>
      </c>
      <c r="L140" s="292">
        <v>64851</v>
      </c>
    </row>
    <row r="141" spans="1:12" x14ac:dyDescent="0.25">
      <c r="A141" s="1" t="s">
        <v>379</v>
      </c>
      <c r="B141" s="126" t="s">
        <v>306</v>
      </c>
      <c r="C141" s="2" t="s">
        <v>307</v>
      </c>
      <c r="D141" s="1">
        <v>187</v>
      </c>
      <c r="E141" s="283">
        <v>6438488</v>
      </c>
      <c r="F141" s="292">
        <v>0</v>
      </c>
      <c r="G141" s="301" t="s">
        <v>140</v>
      </c>
      <c r="H141" s="292">
        <v>6438488</v>
      </c>
      <c r="I141" s="292">
        <v>0</v>
      </c>
      <c r="J141" s="292">
        <v>0</v>
      </c>
      <c r="K141" s="292">
        <v>0</v>
      </c>
      <c r="L141" s="292">
        <v>6438488</v>
      </c>
    </row>
    <row r="142" spans="1:12" x14ac:dyDescent="0.25">
      <c r="A142" s="1" t="s">
        <v>379</v>
      </c>
      <c r="B142" s="126" t="s">
        <v>366</v>
      </c>
      <c r="C142" s="2" t="s">
        <v>367</v>
      </c>
      <c r="D142" s="1">
        <v>124</v>
      </c>
      <c r="E142" s="283">
        <v>1009278</v>
      </c>
      <c r="F142" s="292">
        <v>0</v>
      </c>
      <c r="G142" s="301" t="s">
        <v>140</v>
      </c>
      <c r="H142" s="292">
        <v>1009278</v>
      </c>
      <c r="I142" s="292">
        <v>0</v>
      </c>
      <c r="J142" s="292">
        <v>0</v>
      </c>
      <c r="K142" s="292">
        <v>0</v>
      </c>
      <c r="L142" s="292">
        <v>1009278</v>
      </c>
    </row>
    <row r="143" spans="1:12" ht="30.75" customHeight="1" x14ac:dyDescent="0.25">
      <c r="A143" s="1" t="s">
        <v>379</v>
      </c>
      <c r="B143" s="126" t="s">
        <v>370</v>
      </c>
      <c r="C143" s="2" t="s">
        <v>371</v>
      </c>
      <c r="D143" s="1">
        <v>215</v>
      </c>
      <c r="E143" s="283">
        <v>112982</v>
      </c>
      <c r="F143" s="292">
        <v>0</v>
      </c>
      <c r="G143" s="301" t="s">
        <v>140</v>
      </c>
      <c r="H143" s="292">
        <v>112982</v>
      </c>
      <c r="I143" s="292">
        <v>0</v>
      </c>
      <c r="J143" s="292">
        <v>0</v>
      </c>
      <c r="K143" s="292">
        <v>0</v>
      </c>
      <c r="L143" s="292">
        <v>112982</v>
      </c>
    </row>
    <row r="144" spans="1:12" x14ac:dyDescent="0.25">
      <c r="A144" s="1" t="s">
        <v>379</v>
      </c>
      <c r="B144" s="126" t="s">
        <v>372</v>
      </c>
      <c r="C144" s="2" t="s">
        <v>373</v>
      </c>
      <c r="D144" s="1">
        <v>279</v>
      </c>
      <c r="E144" s="283">
        <v>142458</v>
      </c>
      <c r="F144" s="292">
        <v>0</v>
      </c>
      <c r="G144" s="301" t="s">
        <v>140</v>
      </c>
      <c r="H144" s="292">
        <v>142458</v>
      </c>
      <c r="I144" s="292">
        <v>0</v>
      </c>
      <c r="J144" s="292">
        <v>0</v>
      </c>
      <c r="K144" s="292">
        <v>0</v>
      </c>
      <c r="L144" s="292">
        <v>142458</v>
      </c>
    </row>
    <row r="145" spans="1:12" ht="30.75" x14ac:dyDescent="0.25">
      <c r="A145" s="1" t="s">
        <v>379</v>
      </c>
      <c r="B145" s="126" t="s">
        <v>386</v>
      </c>
      <c r="C145" s="2" t="s">
        <v>387</v>
      </c>
      <c r="D145" s="1">
        <v>255</v>
      </c>
      <c r="E145" s="283">
        <v>1122</v>
      </c>
      <c r="F145" s="292">
        <v>0</v>
      </c>
      <c r="G145" s="301" t="s">
        <v>140</v>
      </c>
      <c r="H145" s="292">
        <v>1122</v>
      </c>
      <c r="I145" s="292">
        <v>0</v>
      </c>
      <c r="J145" s="292">
        <v>0</v>
      </c>
      <c r="K145" s="292">
        <v>0</v>
      </c>
      <c r="L145" s="292">
        <v>1122</v>
      </c>
    </row>
    <row r="146" spans="1:12" x14ac:dyDescent="0.25">
      <c r="A146" s="1" t="s">
        <v>379</v>
      </c>
      <c r="B146" s="126" t="s">
        <v>374</v>
      </c>
      <c r="C146" s="2" t="s">
        <v>375</v>
      </c>
      <c r="D146" s="1">
        <v>73</v>
      </c>
      <c r="E146" s="283">
        <v>699803</v>
      </c>
      <c r="F146" s="292">
        <v>0</v>
      </c>
      <c r="G146" s="301" t="s">
        <v>140</v>
      </c>
      <c r="H146" s="292">
        <v>699803</v>
      </c>
      <c r="I146" s="292">
        <v>0</v>
      </c>
      <c r="J146" s="292">
        <v>0</v>
      </c>
      <c r="K146" s="292">
        <v>0</v>
      </c>
      <c r="L146" s="292">
        <v>699803</v>
      </c>
    </row>
    <row r="147" spans="1:12" ht="30.75" x14ac:dyDescent="0.25">
      <c r="A147" s="1" t="s">
        <v>379</v>
      </c>
      <c r="B147" s="126" t="s">
        <v>388</v>
      </c>
      <c r="C147" s="2" t="s">
        <v>389</v>
      </c>
      <c r="D147" s="1">
        <v>18</v>
      </c>
      <c r="E147" s="283">
        <v>195373</v>
      </c>
      <c r="F147" s="292">
        <v>0</v>
      </c>
      <c r="G147" s="302"/>
      <c r="H147" s="294">
        <v>195373</v>
      </c>
      <c r="I147" s="292">
        <v>0</v>
      </c>
      <c r="J147" s="292">
        <v>0</v>
      </c>
      <c r="K147" s="292">
        <v>0</v>
      </c>
      <c r="L147" s="294">
        <v>195373</v>
      </c>
    </row>
    <row r="148" spans="1:12" x14ac:dyDescent="0.25">
      <c r="A148" s="1" t="s">
        <v>379</v>
      </c>
      <c r="B148" s="126" t="s">
        <v>376</v>
      </c>
      <c r="C148" s="2" t="s">
        <v>377</v>
      </c>
      <c r="D148" s="1">
        <v>120</v>
      </c>
      <c r="E148" s="283">
        <v>551742</v>
      </c>
      <c r="F148" s="292">
        <v>0</v>
      </c>
      <c r="G148" s="301" t="s">
        <v>140</v>
      </c>
      <c r="H148" s="292">
        <v>551742</v>
      </c>
      <c r="I148" s="292">
        <v>0</v>
      </c>
      <c r="J148" s="292">
        <v>0</v>
      </c>
      <c r="K148" s="292">
        <v>0</v>
      </c>
      <c r="L148" s="292">
        <v>551742</v>
      </c>
    </row>
    <row r="149" spans="1:12" x14ac:dyDescent="0.25">
      <c r="A149" s="202" t="s">
        <v>390</v>
      </c>
      <c r="B149" s="87" t="s">
        <v>140</v>
      </c>
      <c r="C149" s="87" t="s">
        <v>140</v>
      </c>
      <c r="D149" s="87" t="s">
        <v>140</v>
      </c>
      <c r="E149" s="244">
        <f>SUBTOTAL(109,local200809[Program
Costs])</f>
        <v>54965074</v>
      </c>
      <c r="F149" s="244">
        <f>SUBTOTAL(109,local200809[Less: Net Payments and Offsets1])</f>
        <v>2092004</v>
      </c>
      <c r="G149" s="342" t="s">
        <v>140</v>
      </c>
      <c r="H149" s="244">
        <f>SUBTOTAL(109,local200809[Account
Payable 
Balance])</f>
        <v>52873070</v>
      </c>
      <c r="I149" s="244">
        <f>SUBTOTAL(109,local200809[Established
Account 
Receivable])</f>
        <v>7837</v>
      </c>
      <c r="J149" s="244">
        <f>SUBTOTAL(109,local200809[Less: 
Recovered Amount])</f>
        <v>0</v>
      </c>
      <c r="K149" s="244">
        <f>SUBTOTAL(109,local200809[Account  Receivable
Balance])</f>
        <v>7837</v>
      </c>
      <c r="L149" s="244">
        <f>SUBTOTAL(109,local200809[Net
Balance])</f>
        <v>52865233</v>
      </c>
    </row>
    <row r="150" spans="1:12" x14ac:dyDescent="0.25">
      <c r="A150" s="195" t="s">
        <v>141</v>
      </c>
      <c r="B150" s="142"/>
      <c r="C150" s="142"/>
      <c r="D150" s="142"/>
      <c r="E150" s="26"/>
      <c r="F150" s="26"/>
      <c r="G150" s="196"/>
      <c r="H150" s="26"/>
      <c r="I150" s="26"/>
      <c r="J150" s="26"/>
      <c r="K150" s="26"/>
      <c r="L150" s="26"/>
    </row>
    <row r="151" spans="1:12" ht="50.25" x14ac:dyDescent="0.25">
      <c r="A151" s="12" t="s">
        <v>5</v>
      </c>
      <c r="B151" s="12" t="s">
        <v>6</v>
      </c>
      <c r="C151" s="12" t="s">
        <v>0</v>
      </c>
      <c r="D151" s="12" t="s">
        <v>139</v>
      </c>
      <c r="E151" s="189" t="s">
        <v>234</v>
      </c>
      <c r="F151" s="197" t="s">
        <v>310</v>
      </c>
      <c r="G151" s="198" t="s">
        <v>142</v>
      </c>
      <c r="H151" s="189" t="s">
        <v>301</v>
      </c>
      <c r="I151" s="189" t="s">
        <v>302</v>
      </c>
      <c r="J151" s="189" t="s">
        <v>303</v>
      </c>
      <c r="K151" s="189" t="s">
        <v>304</v>
      </c>
      <c r="L151" s="189" t="s">
        <v>305</v>
      </c>
    </row>
    <row r="152" spans="1:12" x14ac:dyDescent="0.25">
      <c r="A152" s="1" t="s">
        <v>391</v>
      </c>
      <c r="B152" s="126" t="s">
        <v>344</v>
      </c>
      <c r="C152" s="2" t="s">
        <v>345</v>
      </c>
      <c r="D152" s="1">
        <v>213</v>
      </c>
      <c r="E152" s="283">
        <v>18220419</v>
      </c>
      <c r="F152" s="292">
        <v>0</v>
      </c>
      <c r="G152" s="301" t="s">
        <v>140</v>
      </c>
      <c r="H152" s="292">
        <v>18220419</v>
      </c>
      <c r="I152" s="292">
        <v>0</v>
      </c>
      <c r="J152" s="292">
        <v>0</v>
      </c>
      <c r="K152" s="292">
        <v>0</v>
      </c>
      <c r="L152" s="292">
        <v>18220419</v>
      </c>
    </row>
    <row r="153" spans="1:12" x14ac:dyDescent="0.25">
      <c r="A153" s="1" t="s">
        <v>391</v>
      </c>
      <c r="B153" s="126" t="s">
        <v>334</v>
      </c>
      <c r="C153" s="2" t="s">
        <v>335</v>
      </c>
      <c r="D153" s="1">
        <v>353</v>
      </c>
      <c r="E153" s="283">
        <v>1228961</v>
      </c>
      <c r="F153" s="283">
        <v>1228961</v>
      </c>
      <c r="G153" s="301" t="s">
        <v>140</v>
      </c>
      <c r="H153" s="292">
        <v>0</v>
      </c>
      <c r="I153" s="292">
        <v>6821</v>
      </c>
      <c r="J153" s="292">
        <v>0</v>
      </c>
      <c r="K153" s="292">
        <v>6821</v>
      </c>
      <c r="L153" s="292">
        <v>-6821</v>
      </c>
    </row>
    <row r="154" spans="1:12" ht="30.75" x14ac:dyDescent="0.25">
      <c r="A154" s="1" t="s">
        <v>391</v>
      </c>
      <c r="B154" s="126" t="s">
        <v>346</v>
      </c>
      <c r="C154" s="2" t="s">
        <v>347</v>
      </c>
      <c r="D154" s="1">
        <v>67</v>
      </c>
      <c r="E154" s="283">
        <v>164218</v>
      </c>
      <c r="F154" s="292">
        <v>0</v>
      </c>
      <c r="G154" s="301" t="s">
        <v>140</v>
      </c>
      <c r="H154" s="292">
        <v>164218</v>
      </c>
      <c r="I154" s="292">
        <v>0</v>
      </c>
      <c r="J154" s="292">
        <v>0</v>
      </c>
      <c r="K154" s="292">
        <v>0</v>
      </c>
      <c r="L154" s="292">
        <v>164218</v>
      </c>
    </row>
    <row r="155" spans="1:12" x14ac:dyDescent="0.25">
      <c r="A155" s="1" t="s">
        <v>391</v>
      </c>
      <c r="B155" s="126" t="s">
        <v>348</v>
      </c>
      <c r="C155" s="2" t="s">
        <v>349</v>
      </c>
      <c r="D155" s="1">
        <v>88</v>
      </c>
      <c r="E155" s="283">
        <v>99582</v>
      </c>
      <c r="F155" s="292">
        <v>0</v>
      </c>
      <c r="G155" s="301" t="s">
        <v>140</v>
      </c>
      <c r="H155" s="292">
        <v>99582</v>
      </c>
      <c r="I155" s="292">
        <v>0</v>
      </c>
      <c r="J155" s="292">
        <v>0</v>
      </c>
      <c r="K155" s="292">
        <v>0</v>
      </c>
      <c r="L155" s="292">
        <v>99582</v>
      </c>
    </row>
    <row r="156" spans="1:12" ht="30.75" customHeight="1" x14ac:dyDescent="0.25">
      <c r="A156" s="1" t="s">
        <v>391</v>
      </c>
      <c r="B156" s="126" t="s">
        <v>350</v>
      </c>
      <c r="C156" s="2" t="s">
        <v>351</v>
      </c>
      <c r="D156" s="1">
        <v>158</v>
      </c>
      <c r="E156" s="283">
        <v>321041</v>
      </c>
      <c r="F156" s="292">
        <v>0</v>
      </c>
      <c r="G156" s="301" t="s">
        <v>140</v>
      </c>
      <c r="H156" s="292">
        <v>321041</v>
      </c>
      <c r="I156" s="292">
        <v>0</v>
      </c>
      <c r="J156" s="292">
        <v>0</v>
      </c>
      <c r="K156" s="292">
        <v>0</v>
      </c>
      <c r="L156" s="292">
        <v>321041</v>
      </c>
    </row>
    <row r="157" spans="1:12" ht="30.75" x14ac:dyDescent="0.25">
      <c r="A157" s="1" t="s">
        <v>391</v>
      </c>
      <c r="B157" s="126" t="s">
        <v>352</v>
      </c>
      <c r="C157" s="2" t="s">
        <v>353</v>
      </c>
      <c r="D157" s="1">
        <v>87</v>
      </c>
      <c r="E157" s="283">
        <v>593232</v>
      </c>
      <c r="F157" s="292">
        <v>0</v>
      </c>
      <c r="G157" s="301" t="s">
        <v>140</v>
      </c>
      <c r="H157" s="292">
        <v>593232</v>
      </c>
      <c r="I157" s="292">
        <v>0</v>
      </c>
      <c r="J157" s="292">
        <v>0</v>
      </c>
      <c r="K157" s="292">
        <v>0</v>
      </c>
      <c r="L157" s="292">
        <v>593232</v>
      </c>
    </row>
    <row r="158" spans="1:12" ht="15.75" customHeight="1" x14ac:dyDescent="0.25">
      <c r="A158" s="1" t="s">
        <v>391</v>
      </c>
      <c r="B158" s="126" t="s">
        <v>380</v>
      </c>
      <c r="C158" s="2" t="s">
        <v>381</v>
      </c>
      <c r="D158" s="1">
        <v>266</v>
      </c>
      <c r="E158" s="283">
        <v>163634</v>
      </c>
      <c r="F158" s="292">
        <v>0</v>
      </c>
      <c r="G158" s="301" t="s">
        <v>140</v>
      </c>
      <c r="H158" s="292">
        <v>163634</v>
      </c>
      <c r="I158" s="292">
        <v>0</v>
      </c>
      <c r="J158" s="292">
        <v>0</v>
      </c>
      <c r="K158" s="292">
        <v>0</v>
      </c>
      <c r="L158" s="292">
        <v>163634</v>
      </c>
    </row>
    <row r="159" spans="1:12" ht="15" customHeight="1" x14ac:dyDescent="0.25">
      <c r="A159" s="1" t="s">
        <v>391</v>
      </c>
      <c r="B159" s="126" t="s">
        <v>382</v>
      </c>
      <c r="C159" s="2" t="s">
        <v>383</v>
      </c>
      <c r="D159" s="1">
        <v>257</v>
      </c>
      <c r="E159" s="283">
        <v>5788</v>
      </c>
      <c r="F159" s="292">
        <v>0</v>
      </c>
      <c r="G159" s="301" t="s">
        <v>140</v>
      </c>
      <c r="H159" s="292">
        <v>5788</v>
      </c>
      <c r="I159" s="292">
        <v>0</v>
      </c>
      <c r="J159" s="292">
        <v>0</v>
      </c>
      <c r="K159" s="292">
        <v>0</v>
      </c>
      <c r="L159" s="292">
        <v>5788</v>
      </c>
    </row>
    <row r="160" spans="1:12" x14ac:dyDescent="0.25">
      <c r="A160" s="1" t="s">
        <v>391</v>
      </c>
      <c r="B160" s="126" t="s">
        <v>392</v>
      </c>
      <c r="C160" s="2" t="s">
        <v>393</v>
      </c>
      <c r="D160" s="1">
        <v>23</v>
      </c>
      <c r="E160" s="283">
        <v>5861791</v>
      </c>
      <c r="F160" s="292">
        <v>0</v>
      </c>
      <c r="G160" s="301" t="s">
        <v>140</v>
      </c>
      <c r="H160" s="292">
        <v>5861791</v>
      </c>
      <c r="I160" s="292">
        <v>0</v>
      </c>
      <c r="J160" s="292">
        <v>0</v>
      </c>
      <c r="K160" s="292">
        <v>0</v>
      </c>
      <c r="L160" s="292">
        <v>5861791</v>
      </c>
    </row>
    <row r="161" spans="1:12" ht="30.75" x14ac:dyDescent="0.25">
      <c r="A161" s="1" t="s">
        <v>391</v>
      </c>
      <c r="B161" s="126" t="s">
        <v>384</v>
      </c>
      <c r="C161" s="2" t="s">
        <v>385</v>
      </c>
      <c r="D161" s="1">
        <v>35</v>
      </c>
      <c r="E161" s="283">
        <v>134655</v>
      </c>
      <c r="F161" s="292">
        <v>0</v>
      </c>
      <c r="G161" s="301" t="s">
        <v>140</v>
      </c>
      <c r="H161" s="292">
        <v>134655</v>
      </c>
      <c r="I161" s="292">
        <v>0</v>
      </c>
      <c r="J161" s="292">
        <v>0</v>
      </c>
      <c r="K161" s="292">
        <v>0</v>
      </c>
      <c r="L161" s="292">
        <v>134655</v>
      </c>
    </row>
    <row r="162" spans="1:12" ht="15" customHeight="1" x14ac:dyDescent="0.25">
      <c r="A162" s="1" t="s">
        <v>391</v>
      </c>
      <c r="B162" s="126" t="s">
        <v>354</v>
      </c>
      <c r="C162" s="2" t="s">
        <v>355</v>
      </c>
      <c r="D162" s="1">
        <v>300</v>
      </c>
      <c r="E162" s="283">
        <v>9133</v>
      </c>
      <c r="F162" s="283">
        <v>5761</v>
      </c>
      <c r="G162" s="301" t="s">
        <v>140</v>
      </c>
      <c r="H162" s="292">
        <v>3372</v>
      </c>
      <c r="I162" s="292">
        <v>0</v>
      </c>
      <c r="J162" s="292">
        <v>0</v>
      </c>
      <c r="K162" s="292">
        <v>0</v>
      </c>
      <c r="L162" s="292">
        <v>3372</v>
      </c>
    </row>
    <row r="163" spans="1:12" ht="30.75" customHeight="1" x14ac:dyDescent="0.25">
      <c r="A163" s="1" t="s">
        <v>391</v>
      </c>
      <c r="B163" s="126" t="s">
        <v>356</v>
      </c>
      <c r="C163" s="2" t="s">
        <v>357</v>
      </c>
      <c r="D163" s="1">
        <v>203</v>
      </c>
      <c r="E163" s="283">
        <v>3146513</v>
      </c>
      <c r="F163" s="292">
        <v>0</v>
      </c>
      <c r="G163" s="301" t="s">
        <v>140</v>
      </c>
      <c r="H163" s="292">
        <v>3146513</v>
      </c>
      <c r="I163" s="292">
        <v>0</v>
      </c>
      <c r="J163" s="292">
        <v>0</v>
      </c>
      <c r="K163" s="292">
        <v>0</v>
      </c>
      <c r="L163" s="292">
        <v>3146513</v>
      </c>
    </row>
    <row r="164" spans="1:12" ht="30.75" x14ac:dyDescent="0.25">
      <c r="A164" s="1" t="s">
        <v>391</v>
      </c>
      <c r="B164" s="126" t="s">
        <v>358</v>
      </c>
      <c r="C164" s="2" t="s">
        <v>359</v>
      </c>
      <c r="D164" s="1">
        <v>39</v>
      </c>
      <c r="E164" s="283">
        <v>295550</v>
      </c>
      <c r="F164" s="292">
        <v>0</v>
      </c>
      <c r="G164" s="301" t="s">
        <v>140</v>
      </c>
      <c r="H164" s="292">
        <v>295550</v>
      </c>
      <c r="I164" s="292">
        <v>0</v>
      </c>
      <c r="J164" s="292">
        <v>0</v>
      </c>
      <c r="K164" s="292">
        <v>0</v>
      </c>
      <c r="L164" s="292">
        <v>295550</v>
      </c>
    </row>
    <row r="165" spans="1:12" x14ac:dyDescent="0.25">
      <c r="A165" s="1" t="s">
        <v>391</v>
      </c>
      <c r="B165" s="126" t="s">
        <v>360</v>
      </c>
      <c r="C165" s="2" t="s">
        <v>361</v>
      </c>
      <c r="D165" s="1">
        <v>66</v>
      </c>
      <c r="E165" s="283">
        <v>16698</v>
      </c>
      <c r="F165" s="292">
        <v>0</v>
      </c>
      <c r="G165" s="301" t="s">
        <v>140</v>
      </c>
      <c r="H165" s="292">
        <v>16698</v>
      </c>
      <c r="I165" s="292">
        <v>0</v>
      </c>
      <c r="J165" s="292">
        <v>0</v>
      </c>
      <c r="K165" s="292">
        <v>0</v>
      </c>
      <c r="L165" s="292">
        <v>16698</v>
      </c>
    </row>
    <row r="166" spans="1:12" ht="15.75" customHeight="1" x14ac:dyDescent="0.25">
      <c r="A166" s="1" t="s">
        <v>391</v>
      </c>
      <c r="B166" s="126" t="s">
        <v>324</v>
      </c>
      <c r="C166" s="2" t="s">
        <v>325</v>
      </c>
      <c r="D166" s="1">
        <v>314</v>
      </c>
      <c r="E166" s="283">
        <v>921329</v>
      </c>
      <c r="F166" s="283">
        <v>912918</v>
      </c>
      <c r="G166" s="301" t="s">
        <v>140</v>
      </c>
      <c r="H166" s="292">
        <v>8411</v>
      </c>
      <c r="I166" s="292">
        <v>0</v>
      </c>
      <c r="J166" s="292">
        <v>0</v>
      </c>
      <c r="K166" s="292">
        <v>0</v>
      </c>
      <c r="L166" s="292">
        <v>8411</v>
      </c>
    </row>
    <row r="167" spans="1:12" x14ac:dyDescent="0.25">
      <c r="A167" s="1" t="s">
        <v>391</v>
      </c>
      <c r="B167" s="126" t="s">
        <v>362</v>
      </c>
      <c r="C167" s="2" t="s">
        <v>363</v>
      </c>
      <c r="D167" s="1">
        <v>200</v>
      </c>
      <c r="E167" s="283">
        <v>2338247</v>
      </c>
      <c r="F167" s="292">
        <v>0</v>
      </c>
      <c r="G167" s="301" t="s">
        <v>140</v>
      </c>
      <c r="H167" s="292">
        <v>2338247</v>
      </c>
      <c r="I167" s="292">
        <v>0</v>
      </c>
      <c r="J167" s="292">
        <v>0</v>
      </c>
      <c r="K167" s="292">
        <v>0</v>
      </c>
      <c r="L167" s="292">
        <v>2338247</v>
      </c>
    </row>
    <row r="168" spans="1:12" ht="15.75" customHeight="1" x14ac:dyDescent="0.25">
      <c r="A168" s="1" t="s">
        <v>391</v>
      </c>
      <c r="B168" s="126" t="s">
        <v>326</v>
      </c>
      <c r="C168" s="2" t="s">
        <v>327</v>
      </c>
      <c r="D168" s="1">
        <v>219</v>
      </c>
      <c r="E168" s="283">
        <v>15545535</v>
      </c>
      <c r="F168" s="292">
        <v>0</v>
      </c>
      <c r="G168" s="301" t="s">
        <v>140</v>
      </c>
      <c r="H168" s="292">
        <v>15545535</v>
      </c>
      <c r="I168" s="292">
        <v>0</v>
      </c>
      <c r="J168" s="292">
        <v>0</v>
      </c>
      <c r="K168" s="292">
        <v>0</v>
      </c>
      <c r="L168" s="292">
        <v>15545535</v>
      </c>
    </row>
    <row r="169" spans="1:12" ht="15.75" customHeight="1" x14ac:dyDescent="0.25">
      <c r="A169" s="1" t="s">
        <v>391</v>
      </c>
      <c r="B169" s="126" t="s">
        <v>364</v>
      </c>
      <c r="C169" s="2" t="s">
        <v>365</v>
      </c>
      <c r="D169" s="1">
        <v>122</v>
      </c>
      <c r="E169" s="283">
        <v>277610</v>
      </c>
      <c r="F169" s="292">
        <v>0</v>
      </c>
      <c r="G169" s="301" t="s">
        <v>140</v>
      </c>
      <c r="H169" s="292">
        <v>277610</v>
      </c>
      <c r="I169" s="292">
        <v>0</v>
      </c>
      <c r="J169" s="292">
        <v>0</v>
      </c>
      <c r="K169" s="292">
        <v>0</v>
      </c>
      <c r="L169" s="292">
        <v>277610</v>
      </c>
    </row>
    <row r="170" spans="1:12" x14ac:dyDescent="0.25">
      <c r="A170" s="1" t="s">
        <v>391</v>
      </c>
      <c r="B170" s="126" t="s">
        <v>394</v>
      </c>
      <c r="C170" s="2" t="s">
        <v>395</v>
      </c>
      <c r="D170" s="1">
        <v>118</v>
      </c>
      <c r="E170" s="283">
        <v>4797410</v>
      </c>
      <c r="F170" s="292">
        <v>0</v>
      </c>
      <c r="G170" s="301" t="s">
        <v>140</v>
      </c>
      <c r="H170" s="292">
        <v>4797410</v>
      </c>
      <c r="I170" s="292">
        <v>0</v>
      </c>
      <c r="J170" s="292">
        <v>0</v>
      </c>
      <c r="K170" s="292">
        <v>0</v>
      </c>
      <c r="L170" s="292">
        <v>4797410</v>
      </c>
    </row>
    <row r="171" spans="1:12" x14ac:dyDescent="0.25">
      <c r="A171" s="1" t="s">
        <v>391</v>
      </c>
      <c r="B171" s="126" t="s">
        <v>306</v>
      </c>
      <c r="C171" s="2" t="s">
        <v>307</v>
      </c>
      <c r="D171" s="1">
        <v>187</v>
      </c>
      <c r="E171" s="283">
        <v>9211360</v>
      </c>
      <c r="F171" s="292">
        <v>0</v>
      </c>
      <c r="G171" s="301" t="s">
        <v>140</v>
      </c>
      <c r="H171" s="292">
        <v>9211360</v>
      </c>
      <c r="I171" s="292">
        <v>0</v>
      </c>
      <c r="J171" s="292">
        <v>0</v>
      </c>
      <c r="K171" s="292">
        <v>0</v>
      </c>
      <c r="L171" s="292">
        <v>9211360</v>
      </c>
    </row>
    <row r="172" spans="1:12" x14ac:dyDescent="0.25">
      <c r="A172" s="1" t="s">
        <v>391</v>
      </c>
      <c r="B172" s="126" t="s">
        <v>366</v>
      </c>
      <c r="C172" s="2" t="s">
        <v>367</v>
      </c>
      <c r="D172" s="1">
        <v>124</v>
      </c>
      <c r="E172" s="283">
        <v>1280819</v>
      </c>
      <c r="F172" s="292">
        <v>0</v>
      </c>
      <c r="G172" s="301" t="s">
        <v>140</v>
      </c>
      <c r="H172" s="292">
        <v>1280819</v>
      </c>
      <c r="I172" s="292">
        <v>0</v>
      </c>
      <c r="J172" s="292">
        <v>0</v>
      </c>
      <c r="K172" s="292">
        <v>0</v>
      </c>
      <c r="L172" s="292">
        <v>1280819</v>
      </c>
    </row>
    <row r="173" spans="1:12" ht="30.75" customHeight="1" x14ac:dyDescent="0.25">
      <c r="A173" s="1" t="s">
        <v>391</v>
      </c>
      <c r="B173" s="126" t="s">
        <v>370</v>
      </c>
      <c r="C173" s="2" t="s">
        <v>371</v>
      </c>
      <c r="D173" s="1">
        <v>215</v>
      </c>
      <c r="E173" s="283">
        <v>163955</v>
      </c>
      <c r="F173" s="292">
        <v>0</v>
      </c>
      <c r="G173" s="301" t="s">
        <v>140</v>
      </c>
      <c r="H173" s="292">
        <v>163955</v>
      </c>
      <c r="I173" s="292">
        <v>0</v>
      </c>
      <c r="J173" s="292">
        <v>0</v>
      </c>
      <c r="K173" s="292">
        <v>0</v>
      </c>
      <c r="L173" s="292">
        <v>163955</v>
      </c>
    </row>
    <row r="174" spans="1:12" x14ac:dyDescent="0.25">
      <c r="A174" s="1" t="s">
        <v>391</v>
      </c>
      <c r="B174" s="126" t="s">
        <v>372</v>
      </c>
      <c r="C174" s="2" t="s">
        <v>373</v>
      </c>
      <c r="D174" s="1">
        <v>279</v>
      </c>
      <c r="E174" s="283">
        <v>123677</v>
      </c>
      <c r="F174" s="292">
        <v>0</v>
      </c>
      <c r="G174" s="301" t="s">
        <v>140</v>
      </c>
      <c r="H174" s="292">
        <v>123677</v>
      </c>
      <c r="I174" s="292">
        <v>0</v>
      </c>
      <c r="J174" s="292">
        <v>0</v>
      </c>
      <c r="K174" s="292">
        <v>0</v>
      </c>
      <c r="L174" s="292">
        <v>123677</v>
      </c>
    </row>
    <row r="175" spans="1:12" ht="30.75" x14ac:dyDescent="0.25">
      <c r="A175" s="1" t="s">
        <v>391</v>
      </c>
      <c r="B175" s="126" t="s">
        <v>386</v>
      </c>
      <c r="C175" s="2" t="s">
        <v>387</v>
      </c>
      <c r="D175" s="1">
        <v>255</v>
      </c>
      <c r="E175" s="283">
        <v>4338</v>
      </c>
      <c r="F175" s="292">
        <v>0</v>
      </c>
      <c r="G175" s="301" t="s">
        <v>140</v>
      </c>
      <c r="H175" s="292">
        <v>4338</v>
      </c>
      <c r="I175" s="292">
        <v>0</v>
      </c>
      <c r="J175" s="292">
        <v>0</v>
      </c>
      <c r="K175" s="292">
        <v>0</v>
      </c>
      <c r="L175" s="292">
        <v>4338</v>
      </c>
    </row>
    <row r="176" spans="1:12" ht="30.75" customHeight="1" x14ac:dyDescent="0.25">
      <c r="A176" s="1" t="s">
        <v>391</v>
      </c>
      <c r="B176" s="126" t="s">
        <v>374</v>
      </c>
      <c r="C176" s="2" t="s">
        <v>375</v>
      </c>
      <c r="D176" s="1">
        <v>73</v>
      </c>
      <c r="E176" s="283">
        <v>834422</v>
      </c>
      <c r="F176" s="292">
        <v>0</v>
      </c>
      <c r="G176" s="302"/>
      <c r="H176" s="294">
        <v>834422</v>
      </c>
      <c r="I176" s="292">
        <v>0</v>
      </c>
      <c r="J176" s="292">
        <v>0</v>
      </c>
      <c r="K176" s="292">
        <v>0</v>
      </c>
      <c r="L176" s="294">
        <v>834422</v>
      </c>
    </row>
    <row r="177" spans="1:12" ht="15" customHeight="1" x14ac:dyDescent="0.25">
      <c r="A177" s="1" t="s">
        <v>391</v>
      </c>
      <c r="B177" s="126" t="s">
        <v>388</v>
      </c>
      <c r="C177" s="2" t="s">
        <v>389</v>
      </c>
      <c r="D177" s="1">
        <v>18</v>
      </c>
      <c r="E177" s="283">
        <v>284904</v>
      </c>
      <c r="F177" s="292">
        <v>0</v>
      </c>
      <c r="G177" s="301" t="s">
        <v>140</v>
      </c>
      <c r="H177" s="292">
        <v>284904</v>
      </c>
      <c r="I177" s="292">
        <v>0</v>
      </c>
      <c r="J177" s="292">
        <v>0</v>
      </c>
      <c r="K177" s="292">
        <v>0</v>
      </c>
      <c r="L177" s="292">
        <v>284904</v>
      </c>
    </row>
    <row r="178" spans="1:12" ht="15" customHeight="1" x14ac:dyDescent="0.25">
      <c r="A178" s="1" t="s">
        <v>391</v>
      </c>
      <c r="B178" s="126" t="s">
        <v>376</v>
      </c>
      <c r="C178" s="2" t="s">
        <v>377</v>
      </c>
      <c r="D178" s="1">
        <v>120</v>
      </c>
      <c r="E178" s="283">
        <v>551719</v>
      </c>
      <c r="F178" s="292">
        <v>0</v>
      </c>
      <c r="G178" s="301" t="s">
        <v>140</v>
      </c>
      <c r="H178" s="292">
        <v>551719</v>
      </c>
      <c r="I178" s="292">
        <v>0</v>
      </c>
      <c r="J178" s="292">
        <v>0</v>
      </c>
      <c r="K178" s="292">
        <v>0</v>
      </c>
      <c r="L178" s="292">
        <v>551719</v>
      </c>
    </row>
    <row r="179" spans="1:12" ht="15" customHeight="1" x14ac:dyDescent="0.25">
      <c r="A179" s="199" t="s">
        <v>396</v>
      </c>
      <c r="B179" s="200" t="s">
        <v>140</v>
      </c>
      <c r="C179" s="200" t="s">
        <v>140</v>
      </c>
      <c r="D179" s="200" t="s">
        <v>140</v>
      </c>
      <c r="E179" s="293">
        <f>SUBTOTAL(109,local200708[Program
Costs])</f>
        <v>66596540</v>
      </c>
      <c r="F179" s="293">
        <f>SUBTOTAL(109,local200708[Less: Net Payments and Offsets1])</f>
        <v>2147640</v>
      </c>
      <c r="G179" s="341" t="s">
        <v>140</v>
      </c>
      <c r="H179" s="293">
        <f>SUBTOTAL(109,local200708[Account
Payable 
Balance])</f>
        <v>64448900</v>
      </c>
      <c r="I179" s="293">
        <f>SUBTOTAL(109,local200708[Established
Account 
Receivable])</f>
        <v>6821</v>
      </c>
      <c r="J179" s="293">
        <f>SUBTOTAL(109,local200708[Less: 
Recovered Amount])</f>
        <v>0</v>
      </c>
      <c r="K179" s="293">
        <f>SUBTOTAL(109,local200708[Account  Receivable
Balance])</f>
        <v>6821</v>
      </c>
      <c r="L179" s="293">
        <f>SUBTOTAL(109,local200708[Net
Balance])</f>
        <v>64442079</v>
      </c>
    </row>
    <row r="180" spans="1:12" x14ac:dyDescent="0.25">
      <c r="A180" s="195" t="s">
        <v>141</v>
      </c>
      <c r="B180" s="142"/>
      <c r="C180" s="142"/>
      <c r="D180" s="142"/>
      <c r="E180" s="26"/>
      <c r="F180" s="26"/>
      <c r="G180" s="196"/>
      <c r="H180" s="26"/>
      <c r="I180" s="26"/>
      <c r="J180" s="26"/>
      <c r="K180" s="26"/>
      <c r="L180" s="26"/>
    </row>
    <row r="181" spans="1:12" ht="50.25" x14ac:dyDescent="0.25">
      <c r="A181" s="12" t="s">
        <v>5</v>
      </c>
      <c r="B181" s="12" t="s">
        <v>6</v>
      </c>
      <c r="C181" s="12" t="s">
        <v>0</v>
      </c>
      <c r="D181" s="12" t="s">
        <v>139</v>
      </c>
      <c r="E181" s="189" t="s">
        <v>234</v>
      </c>
      <c r="F181" s="197" t="s">
        <v>310</v>
      </c>
      <c r="G181" s="198" t="s">
        <v>142</v>
      </c>
      <c r="H181" s="189" t="s">
        <v>301</v>
      </c>
      <c r="I181" s="189" t="s">
        <v>302</v>
      </c>
      <c r="J181" s="189" t="s">
        <v>303</v>
      </c>
      <c r="K181" s="189" t="s">
        <v>304</v>
      </c>
      <c r="L181" s="189" t="s">
        <v>305</v>
      </c>
    </row>
    <row r="182" spans="1:12" x14ac:dyDescent="0.25">
      <c r="A182" s="1" t="s">
        <v>397</v>
      </c>
      <c r="B182" s="126" t="s">
        <v>344</v>
      </c>
      <c r="C182" s="2" t="s">
        <v>345</v>
      </c>
      <c r="D182" s="1">
        <v>213</v>
      </c>
      <c r="E182" s="283">
        <v>17241364</v>
      </c>
      <c r="F182" s="283">
        <v>17241364</v>
      </c>
      <c r="G182" s="301" t="s">
        <v>140</v>
      </c>
      <c r="H182" s="292">
        <v>0</v>
      </c>
      <c r="I182" s="292">
        <v>7522234</v>
      </c>
      <c r="J182" s="292">
        <v>6773030</v>
      </c>
      <c r="K182" s="292">
        <v>749204</v>
      </c>
      <c r="L182" s="292">
        <v>-749204</v>
      </c>
    </row>
    <row r="183" spans="1:12" x14ac:dyDescent="0.25">
      <c r="A183" s="1" t="s">
        <v>397</v>
      </c>
      <c r="B183" s="126" t="s">
        <v>334</v>
      </c>
      <c r="C183" s="2" t="s">
        <v>335</v>
      </c>
      <c r="D183" s="1">
        <v>353</v>
      </c>
      <c r="E183" s="283">
        <v>866729</v>
      </c>
      <c r="F183" s="283">
        <v>866729</v>
      </c>
      <c r="G183" s="302"/>
      <c r="H183" s="292">
        <v>0</v>
      </c>
      <c r="I183" s="294">
        <v>6573</v>
      </c>
      <c r="J183" s="294">
        <v>0</v>
      </c>
      <c r="K183" s="294">
        <v>6573</v>
      </c>
      <c r="L183" s="294">
        <v>-6573</v>
      </c>
    </row>
    <row r="184" spans="1:12" x14ac:dyDescent="0.25">
      <c r="A184" s="1" t="s">
        <v>397</v>
      </c>
      <c r="B184" s="126" t="s">
        <v>392</v>
      </c>
      <c r="C184" s="2" t="s">
        <v>393</v>
      </c>
      <c r="D184" s="1">
        <v>23</v>
      </c>
      <c r="E184" s="283">
        <v>4926471</v>
      </c>
      <c r="F184" s="283">
        <v>4901214</v>
      </c>
      <c r="G184" s="301" t="s">
        <v>140</v>
      </c>
      <c r="H184" s="292">
        <v>25257</v>
      </c>
      <c r="I184" s="292">
        <v>319599</v>
      </c>
      <c r="J184" s="292">
        <v>262355</v>
      </c>
      <c r="K184" s="292">
        <v>57244</v>
      </c>
      <c r="L184" s="292">
        <v>-31987</v>
      </c>
    </row>
    <row r="185" spans="1:12" ht="30.75" customHeight="1" x14ac:dyDescent="0.25">
      <c r="A185" s="1" t="s">
        <v>397</v>
      </c>
      <c r="B185" s="126" t="s">
        <v>356</v>
      </c>
      <c r="C185" s="2" t="s">
        <v>357</v>
      </c>
      <c r="D185" s="1">
        <v>203</v>
      </c>
      <c r="E185" s="283">
        <v>3003738</v>
      </c>
      <c r="F185" s="283">
        <v>2950498</v>
      </c>
      <c r="G185" s="301" t="s">
        <v>140</v>
      </c>
      <c r="H185" s="292">
        <v>53240</v>
      </c>
      <c r="I185" s="292">
        <v>341376</v>
      </c>
      <c r="J185" s="292">
        <v>341376</v>
      </c>
      <c r="K185" s="292">
        <v>0</v>
      </c>
      <c r="L185" s="292">
        <v>53240</v>
      </c>
    </row>
    <row r="186" spans="1:12" ht="15" customHeight="1" x14ac:dyDescent="0.25">
      <c r="A186" s="1" t="s">
        <v>397</v>
      </c>
      <c r="B186" s="126" t="s">
        <v>324</v>
      </c>
      <c r="C186" s="2" t="s">
        <v>325</v>
      </c>
      <c r="D186" s="1">
        <v>314</v>
      </c>
      <c r="E186" s="283">
        <v>919345</v>
      </c>
      <c r="F186" s="283">
        <v>910934</v>
      </c>
      <c r="G186" s="301" t="s">
        <v>140</v>
      </c>
      <c r="H186" s="292">
        <v>8411</v>
      </c>
      <c r="I186" s="292">
        <v>0</v>
      </c>
      <c r="J186" s="292">
        <v>0</v>
      </c>
      <c r="K186" s="292">
        <v>0</v>
      </c>
      <c r="L186" s="292">
        <v>8411</v>
      </c>
    </row>
    <row r="187" spans="1:12" ht="15" customHeight="1" x14ac:dyDescent="0.25">
      <c r="A187" s="1" t="s">
        <v>397</v>
      </c>
      <c r="B187" s="126" t="s">
        <v>362</v>
      </c>
      <c r="C187" s="2" t="s">
        <v>363</v>
      </c>
      <c r="D187" s="1">
        <v>200</v>
      </c>
      <c r="E187" s="283">
        <v>1707977</v>
      </c>
      <c r="F187" s="283">
        <v>1702574</v>
      </c>
      <c r="G187" s="301" t="s">
        <v>140</v>
      </c>
      <c r="H187" s="292">
        <v>5403</v>
      </c>
      <c r="I187" s="292">
        <v>439438</v>
      </c>
      <c r="J187" s="292">
        <v>439438</v>
      </c>
      <c r="K187" s="292">
        <v>0</v>
      </c>
      <c r="L187" s="292">
        <v>5403</v>
      </c>
    </row>
    <row r="188" spans="1:12" ht="15" customHeight="1" x14ac:dyDescent="0.25">
      <c r="A188" s="1" t="s">
        <v>397</v>
      </c>
      <c r="B188" s="126" t="s">
        <v>326</v>
      </c>
      <c r="C188" s="2" t="s">
        <v>327</v>
      </c>
      <c r="D188" s="1">
        <v>219</v>
      </c>
      <c r="E188" s="283">
        <v>14755073</v>
      </c>
      <c r="F188" s="292">
        <v>0</v>
      </c>
      <c r="G188" s="301" t="s">
        <v>140</v>
      </c>
      <c r="H188" s="292">
        <v>14755073</v>
      </c>
      <c r="I188" s="292">
        <v>0</v>
      </c>
      <c r="J188" s="292">
        <v>0</v>
      </c>
      <c r="K188" s="292">
        <v>0</v>
      </c>
      <c r="L188" s="292">
        <v>14755073</v>
      </c>
    </row>
    <row r="189" spans="1:12" ht="15" customHeight="1" x14ac:dyDescent="0.25">
      <c r="A189" s="1" t="s">
        <v>397</v>
      </c>
      <c r="B189" s="126" t="s">
        <v>394</v>
      </c>
      <c r="C189" s="2" t="s">
        <v>395</v>
      </c>
      <c r="D189" s="1">
        <v>118</v>
      </c>
      <c r="E189" s="283">
        <v>5458348</v>
      </c>
      <c r="F189" s="283">
        <v>5346969</v>
      </c>
      <c r="G189" s="301" t="s">
        <v>140</v>
      </c>
      <c r="H189" s="292">
        <v>111379</v>
      </c>
      <c r="I189" s="292">
        <v>499658</v>
      </c>
      <c r="J189" s="292">
        <v>499658</v>
      </c>
      <c r="K189" s="292">
        <v>0</v>
      </c>
      <c r="L189" s="292">
        <v>111379</v>
      </c>
    </row>
    <row r="190" spans="1:12" x14ac:dyDescent="0.25">
      <c r="A190" s="1" t="s">
        <v>397</v>
      </c>
      <c r="B190" s="126" t="s">
        <v>306</v>
      </c>
      <c r="C190" s="2" t="s">
        <v>307</v>
      </c>
      <c r="D190" s="1">
        <v>187</v>
      </c>
      <c r="E190" s="283">
        <v>9846865</v>
      </c>
      <c r="F190" s="283">
        <v>7917464</v>
      </c>
      <c r="G190" s="301" t="s">
        <v>140</v>
      </c>
      <c r="H190" s="292">
        <v>1929401</v>
      </c>
      <c r="I190" s="292">
        <v>10543101</v>
      </c>
      <c r="J190" s="292">
        <v>10543101</v>
      </c>
      <c r="K190" s="292">
        <v>0</v>
      </c>
      <c r="L190" s="292">
        <v>1929401</v>
      </c>
    </row>
    <row r="191" spans="1:12" x14ac:dyDescent="0.25">
      <c r="A191" s="1" t="s">
        <v>397</v>
      </c>
      <c r="B191" s="126" t="s">
        <v>370</v>
      </c>
      <c r="C191" s="2" t="s">
        <v>371</v>
      </c>
      <c r="D191" s="1">
        <v>215</v>
      </c>
      <c r="E191" s="283">
        <v>309808</v>
      </c>
      <c r="F191" s="283">
        <v>298328</v>
      </c>
      <c r="G191" s="301" t="s">
        <v>140</v>
      </c>
      <c r="H191" s="292">
        <v>11480</v>
      </c>
      <c r="I191" s="292">
        <v>224111</v>
      </c>
      <c r="J191" s="292">
        <v>224111</v>
      </c>
      <c r="K191" s="292">
        <v>0</v>
      </c>
      <c r="L191" s="292">
        <v>11480</v>
      </c>
    </row>
    <row r="192" spans="1:12" x14ac:dyDescent="0.25">
      <c r="A192" s="1" t="s">
        <v>397</v>
      </c>
      <c r="B192" s="126" t="s">
        <v>372</v>
      </c>
      <c r="C192" s="2" t="s">
        <v>373</v>
      </c>
      <c r="D192" s="1">
        <v>279</v>
      </c>
      <c r="E192" s="283">
        <v>359305</v>
      </c>
      <c r="F192" s="283">
        <v>334797</v>
      </c>
      <c r="G192" s="301" t="s">
        <v>140</v>
      </c>
      <c r="H192" s="292">
        <v>24508</v>
      </c>
      <c r="I192" s="292">
        <v>0</v>
      </c>
      <c r="J192" s="292">
        <v>0</v>
      </c>
      <c r="K192" s="292">
        <v>0</v>
      </c>
      <c r="L192" s="292">
        <v>24508</v>
      </c>
    </row>
    <row r="193" spans="1:12" ht="30.75" x14ac:dyDescent="0.25">
      <c r="A193" s="1" t="s">
        <v>397</v>
      </c>
      <c r="B193" s="126" t="s">
        <v>388</v>
      </c>
      <c r="C193" s="2" t="s">
        <v>389</v>
      </c>
      <c r="D193" s="1">
        <v>18</v>
      </c>
      <c r="E193" s="283">
        <v>273468</v>
      </c>
      <c r="F193" s="283">
        <v>273084</v>
      </c>
      <c r="G193" s="301" t="s">
        <v>140</v>
      </c>
      <c r="H193" s="292">
        <v>384</v>
      </c>
      <c r="I193" s="292">
        <v>384</v>
      </c>
      <c r="J193" s="292">
        <v>384</v>
      </c>
      <c r="K193" s="292">
        <v>0</v>
      </c>
      <c r="L193" s="292">
        <v>384</v>
      </c>
    </row>
    <row r="194" spans="1:12" ht="15" customHeight="1" x14ac:dyDescent="0.25">
      <c r="A194" s="199" t="s">
        <v>398</v>
      </c>
      <c r="B194" s="200" t="s">
        <v>140</v>
      </c>
      <c r="C194" s="200" t="s">
        <v>140</v>
      </c>
      <c r="D194" s="200" t="s">
        <v>140</v>
      </c>
      <c r="E194" s="293">
        <f>SUBTOTAL(109,local200607[Program
Costs])</f>
        <v>59668491</v>
      </c>
      <c r="F194" s="293">
        <f>SUBTOTAL(109,local200607[Less: Net Payments and Offsets1])</f>
        <v>42743955</v>
      </c>
      <c r="G194" s="341" t="s">
        <v>140</v>
      </c>
      <c r="H194" s="293">
        <f>SUBTOTAL(109,local200607[Account
Payable 
Balance])</f>
        <v>16924536</v>
      </c>
      <c r="I194" s="293">
        <f>SUBTOTAL(109,local200607[Established
Account 
Receivable])</f>
        <v>19896474</v>
      </c>
      <c r="J194" s="293">
        <f>SUBTOTAL(109,local200607[Less: 
Recovered Amount])</f>
        <v>19083453</v>
      </c>
      <c r="K194" s="293">
        <f>SUBTOTAL(109,local200607[Account  Receivable
Balance])</f>
        <v>813021</v>
      </c>
      <c r="L194" s="293">
        <f>SUBTOTAL(109,local200607[Net
Balance])</f>
        <v>16111515</v>
      </c>
    </row>
    <row r="195" spans="1:12" x14ac:dyDescent="0.25">
      <c r="A195" s="195" t="s">
        <v>141</v>
      </c>
      <c r="B195" s="142"/>
      <c r="C195" s="142"/>
      <c r="D195" s="142"/>
      <c r="E195" s="26"/>
      <c r="F195" s="26"/>
      <c r="G195" s="196"/>
      <c r="H195" s="26"/>
      <c r="I195" s="26"/>
      <c r="J195" s="26"/>
      <c r="K195" s="26"/>
      <c r="L195" s="26"/>
    </row>
    <row r="196" spans="1:12" ht="50.25" x14ac:dyDescent="0.25">
      <c r="A196" s="12" t="s">
        <v>5</v>
      </c>
      <c r="B196" s="12" t="s">
        <v>6</v>
      </c>
      <c r="C196" s="12" t="s">
        <v>0</v>
      </c>
      <c r="D196" s="12" t="s">
        <v>139</v>
      </c>
      <c r="E196" s="189" t="s">
        <v>234</v>
      </c>
      <c r="F196" s="197" t="s">
        <v>310</v>
      </c>
      <c r="G196" s="198" t="s">
        <v>142</v>
      </c>
      <c r="H196" s="189" t="s">
        <v>301</v>
      </c>
      <c r="I196" s="189" t="s">
        <v>302</v>
      </c>
      <c r="J196" s="189" t="s">
        <v>303</v>
      </c>
      <c r="K196" s="189" t="s">
        <v>304</v>
      </c>
      <c r="L196" s="189" t="s">
        <v>305</v>
      </c>
    </row>
    <row r="197" spans="1:12" ht="15" customHeight="1" x14ac:dyDescent="0.25">
      <c r="A197" s="1" t="s">
        <v>399</v>
      </c>
      <c r="B197" s="126" t="s">
        <v>344</v>
      </c>
      <c r="C197" s="2" t="s">
        <v>345</v>
      </c>
      <c r="D197" s="1">
        <v>213</v>
      </c>
      <c r="E197" s="283">
        <v>17225079</v>
      </c>
      <c r="F197" s="283">
        <v>17202021</v>
      </c>
      <c r="G197" s="301" t="s">
        <v>140</v>
      </c>
      <c r="H197" s="292">
        <v>23058</v>
      </c>
      <c r="I197" s="292">
        <v>4824796</v>
      </c>
      <c r="J197" s="292">
        <v>4291044</v>
      </c>
      <c r="K197" s="292">
        <v>533752</v>
      </c>
      <c r="L197" s="292">
        <v>-510694</v>
      </c>
    </row>
    <row r="198" spans="1:12" ht="15" customHeight="1" x14ac:dyDescent="0.25">
      <c r="A198" s="1" t="s">
        <v>399</v>
      </c>
      <c r="B198" s="126" t="s">
        <v>334</v>
      </c>
      <c r="C198" s="2" t="s">
        <v>335</v>
      </c>
      <c r="D198" s="1">
        <v>353</v>
      </c>
      <c r="E198" s="283">
        <v>660948</v>
      </c>
      <c r="F198" s="283">
        <v>660948</v>
      </c>
      <c r="G198" s="302"/>
      <c r="H198" s="294">
        <v>0</v>
      </c>
      <c r="I198" s="294">
        <v>6766</v>
      </c>
      <c r="J198" s="292">
        <v>0</v>
      </c>
      <c r="K198" s="294">
        <v>6766</v>
      </c>
      <c r="L198" s="294">
        <v>-6766</v>
      </c>
    </row>
    <row r="199" spans="1:12" ht="30.75" x14ac:dyDescent="0.25">
      <c r="A199" s="1" t="s">
        <v>399</v>
      </c>
      <c r="B199" s="126" t="s">
        <v>354</v>
      </c>
      <c r="C199" s="2" t="s">
        <v>355</v>
      </c>
      <c r="D199" s="1">
        <v>300</v>
      </c>
      <c r="E199" s="283">
        <v>196139</v>
      </c>
      <c r="F199" s="283">
        <v>192604</v>
      </c>
      <c r="G199" s="301" t="s">
        <v>140</v>
      </c>
      <c r="H199" s="292">
        <v>3535</v>
      </c>
      <c r="I199" s="292">
        <v>0</v>
      </c>
      <c r="J199" s="292">
        <v>0</v>
      </c>
      <c r="K199" s="292">
        <v>0</v>
      </c>
      <c r="L199" s="292">
        <v>3535</v>
      </c>
    </row>
    <row r="200" spans="1:12" ht="15" customHeight="1" x14ac:dyDescent="0.25">
      <c r="A200" s="1" t="s">
        <v>399</v>
      </c>
      <c r="B200" s="126" t="s">
        <v>324</v>
      </c>
      <c r="C200" s="2" t="s">
        <v>325</v>
      </c>
      <c r="D200" s="1">
        <v>314</v>
      </c>
      <c r="E200" s="283">
        <v>883102</v>
      </c>
      <c r="F200" s="283">
        <v>874691</v>
      </c>
      <c r="G200" s="301" t="s">
        <v>140</v>
      </c>
      <c r="H200" s="292">
        <v>8411</v>
      </c>
      <c r="I200" s="292">
        <v>0</v>
      </c>
      <c r="J200" s="292">
        <v>0</v>
      </c>
      <c r="K200" s="292">
        <v>0</v>
      </c>
      <c r="L200" s="292">
        <v>8411</v>
      </c>
    </row>
    <row r="201" spans="1:12" ht="15" customHeight="1" x14ac:dyDescent="0.25">
      <c r="A201" s="1" t="s">
        <v>399</v>
      </c>
      <c r="B201" s="126" t="s">
        <v>326</v>
      </c>
      <c r="C201" s="2" t="s">
        <v>327</v>
      </c>
      <c r="D201" s="1">
        <v>219</v>
      </c>
      <c r="E201" s="283">
        <v>13579524</v>
      </c>
      <c r="F201" s="283">
        <v>400803</v>
      </c>
      <c r="G201" s="301" t="s">
        <v>140</v>
      </c>
      <c r="H201" s="292">
        <v>13178721</v>
      </c>
      <c r="I201" s="292">
        <v>187248</v>
      </c>
      <c r="J201" s="292">
        <v>179625</v>
      </c>
      <c r="K201" s="292">
        <v>7623</v>
      </c>
      <c r="L201" s="292">
        <v>13171098</v>
      </c>
    </row>
    <row r="202" spans="1:12" ht="30.75" customHeight="1" x14ac:dyDescent="0.25">
      <c r="A202" s="1" t="s">
        <v>399</v>
      </c>
      <c r="B202" s="126" t="s">
        <v>306</v>
      </c>
      <c r="C202" s="2" t="s">
        <v>307</v>
      </c>
      <c r="D202" s="1">
        <v>187</v>
      </c>
      <c r="E202" s="283">
        <v>13310225</v>
      </c>
      <c r="F202" s="283">
        <v>11075800</v>
      </c>
      <c r="G202" s="301" t="s">
        <v>140</v>
      </c>
      <c r="H202" s="292">
        <v>2234425</v>
      </c>
      <c r="I202" s="292">
        <v>6047022</v>
      </c>
      <c r="J202" s="292">
        <v>6047022</v>
      </c>
      <c r="K202" s="292">
        <v>0</v>
      </c>
      <c r="L202" s="292">
        <v>2234425</v>
      </c>
    </row>
    <row r="203" spans="1:12" x14ac:dyDescent="0.25">
      <c r="A203" s="1" t="s">
        <v>399</v>
      </c>
      <c r="B203" s="126" t="s">
        <v>372</v>
      </c>
      <c r="C203" s="2" t="s">
        <v>373</v>
      </c>
      <c r="D203" s="1">
        <v>279</v>
      </c>
      <c r="E203" s="283">
        <v>173372</v>
      </c>
      <c r="F203" s="283">
        <v>134566</v>
      </c>
      <c r="G203" s="301" t="s">
        <v>140</v>
      </c>
      <c r="H203" s="292">
        <v>38806</v>
      </c>
      <c r="I203" s="292">
        <v>0</v>
      </c>
      <c r="J203" s="292">
        <v>0</v>
      </c>
      <c r="K203" s="292">
        <v>0</v>
      </c>
      <c r="L203" s="292">
        <v>38806</v>
      </c>
    </row>
    <row r="204" spans="1:12" ht="15" customHeight="1" x14ac:dyDescent="0.25">
      <c r="A204" s="1" t="s">
        <v>399</v>
      </c>
      <c r="B204" s="126" t="s">
        <v>388</v>
      </c>
      <c r="C204" s="2" t="s">
        <v>389</v>
      </c>
      <c r="D204" s="1">
        <v>18</v>
      </c>
      <c r="E204" s="283">
        <v>258165</v>
      </c>
      <c r="F204" s="283">
        <v>258032</v>
      </c>
      <c r="G204" s="301" t="s">
        <v>140</v>
      </c>
      <c r="H204" s="292">
        <v>133</v>
      </c>
      <c r="I204" s="292">
        <v>133</v>
      </c>
      <c r="J204" s="292">
        <v>133</v>
      </c>
      <c r="K204" s="292">
        <v>0</v>
      </c>
      <c r="L204" s="292">
        <v>133</v>
      </c>
    </row>
    <row r="205" spans="1:12" x14ac:dyDescent="0.25">
      <c r="A205" s="199" t="s">
        <v>400</v>
      </c>
      <c r="B205" s="200" t="s">
        <v>140</v>
      </c>
      <c r="C205" s="200" t="s">
        <v>140</v>
      </c>
      <c r="D205" s="200" t="s">
        <v>140</v>
      </c>
      <c r="E205" s="293">
        <f>SUBTOTAL(109,local200506[Program
Costs])</f>
        <v>46286554</v>
      </c>
      <c r="F205" s="293">
        <f>SUBTOTAL(109,local200506[Less: Net Payments and Offsets1])</f>
        <v>30799465</v>
      </c>
      <c r="G205" s="341" t="s">
        <v>140</v>
      </c>
      <c r="H205" s="293">
        <f>SUBTOTAL(109,local200506[Account
Payable 
Balance])</f>
        <v>15487089</v>
      </c>
      <c r="I205" s="293">
        <f>SUBTOTAL(109,local200506[Established
Account 
Receivable])</f>
        <v>11065965</v>
      </c>
      <c r="J205" s="293">
        <f>SUBTOTAL(109,local200506[Less: 
Recovered Amount])</f>
        <v>10517824</v>
      </c>
      <c r="K205" s="293">
        <f>SUBTOTAL(109,local200506[Account  Receivable
Balance])</f>
        <v>548141</v>
      </c>
      <c r="L205" s="293">
        <f>SUBTOTAL(109,local200506[Net
Balance])</f>
        <v>14938948</v>
      </c>
    </row>
    <row r="206" spans="1:12" x14ac:dyDescent="0.25">
      <c r="A206" s="195" t="s">
        <v>141</v>
      </c>
      <c r="B206" s="142"/>
      <c r="C206" s="142"/>
      <c r="D206" s="142"/>
      <c r="E206" s="26"/>
      <c r="F206" s="26"/>
      <c r="G206" s="196"/>
      <c r="H206" s="26"/>
      <c r="I206" s="26"/>
      <c r="J206" s="26"/>
      <c r="K206" s="26"/>
      <c r="L206" s="26"/>
    </row>
    <row r="207" spans="1:12" ht="50.25" x14ac:dyDescent="0.25">
      <c r="A207" s="12" t="s">
        <v>5</v>
      </c>
      <c r="B207" s="12" t="s">
        <v>6</v>
      </c>
      <c r="C207" s="12" t="s">
        <v>0</v>
      </c>
      <c r="D207" s="12" t="s">
        <v>139</v>
      </c>
      <c r="E207" s="189" t="s">
        <v>234</v>
      </c>
      <c r="F207" s="197" t="s">
        <v>310</v>
      </c>
      <c r="G207" s="198" t="s">
        <v>142</v>
      </c>
      <c r="H207" s="189" t="s">
        <v>301</v>
      </c>
      <c r="I207" s="189" t="s">
        <v>302</v>
      </c>
      <c r="J207" s="189" t="s">
        <v>303</v>
      </c>
      <c r="K207" s="189" t="s">
        <v>304</v>
      </c>
      <c r="L207" s="189" t="s">
        <v>305</v>
      </c>
    </row>
    <row r="208" spans="1:12" x14ac:dyDescent="0.25">
      <c r="A208" s="1" t="s">
        <v>401</v>
      </c>
      <c r="B208" s="126" t="s">
        <v>330</v>
      </c>
      <c r="C208" s="2" t="s">
        <v>331</v>
      </c>
      <c r="D208" s="1">
        <v>2</v>
      </c>
      <c r="E208" s="283">
        <v>17563599</v>
      </c>
      <c r="F208" s="283">
        <v>17516451</v>
      </c>
      <c r="G208" s="301" t="s">
        <v>140</v>
      </c>
      <c r="H208" s="292">
        <v>47148</v>
      </c>
      <c r="I208" s="292">
        <v>2316857</v>
      </c>
      <c r="J208" s="292">
        <v>2316857</v>
      </c>
      <c r="K208" s="292">
        <v>0</v>
      </c>
      <c r="L208" s="292">
        <v>47148</v>
      </c>
    </row>
    <row r="209" spans="1:12" x14ac:dyDescent="0.25">
      <c r="A209" s="1" t="s">
        <v>401</v>
      </c>
      <c r="B209" s="126" t="s">
        <v>344</v>
      </c>
      <c r="C209" s="2" t="s">
        <v>345</v>
      </c>
      <c r="D209" s="1">
        <v>213</v>
      </c>
      <c r="E209" s="283">
        <v>19847433</v>
      </c>
      <c r="F209" s="283">
        <v>19847433</v>
      </c>
      <c r="G209" s="302"/>
      <c r="H209" s="292">
        <v>0</v>
      </c>
      <c r="I209" s="294">
        <v>3917590</v>
      </c>
      <c r="J209" s="294">
        <v>3843233</v>
      </c>
      <c r="K209" s="294">
        <v>74357</v>
      </c>
      <c r="L209" s="294">
        <v>-74357</v>
      </c>
    </row>
    <row r="210" spans="1:12" x14ac:dyDescent="0.25">
      <c r="A210" s="1" t="s">
        <v>401</v>
      </c>
      <c r="B210" s="126" t="s">
        <v>334</v>
      </c>
      <c r="C210" s="2" t="s">
        <v>335</v>
      </c>
      <c r="D210" s="1">
        <v>353</v>
      </c>
      <c r="E210" s="283">
        <v>515185</v>
      </c>
      <c r="F210" s="283">
        <v>515185</v>
      </c>
      <c r="G210" s="301" t="s">
        <v>140</v>
      </c>
      <c r="H210" s="292">
        <v>0</v>
      </c>
      <c r="I210" s="292">
        <v>5351</v>
      </c>
      <c r="J210" s="292">
        <v>0</v>
      </c>
      <c r="K210" s="292">
        <v>5351</v>
      </c>
      <c r="L210" s="292">
        <v>-5351</v>
      </c>
    </row>
    <row r="211" spans="1:12" ht="15" customHeight="1" x14ac:dyDescent="0.25">
      <c r="A211" s="1" t="s">
        <v>401</v>
      </c>
      <c r="B211" s="126" t="s">
        <v>324</v>
      </c>
      <c r="C211" s="2" t="s">
        <v>325</v>
      </c>
      <c r="D211" s="1">
        <v>314</v>
      </c>
      <c r="E211" s="283">
        <v>825575</v>
      </c>
      <c r="F211" s="283">
        <v>817164</v>
      </c>
      <c r="G211" s="301" t="s">
        <v>140</v>
      </c>
      <c r="H211" s="292">
        <v>8411</v>
      </c>
      <c r="I211" s="292">
        <v>0</v>
      </c>
      <c r="J211" s="292">
        <v>0</v>
      </c>
      <c r="K211" s="292">
        <v>0</v>
      </c>
      <c r="L211" s="292">
        <v>8411</v>
      </c>
    </row>
    <row r="212" spans="1:12" ht="15" customHeight="1" x14ac:dyDescent="0.25">
      <c r="A212" s="1" t="s">
        <v>401</v>
      </c>
      <c r="B212" s="126" t="s">
        <v>326</v>
      </c>
      <c r="C212" s="2" t="s">
        <v>327</v>
      </c>
      <c r="D212" s="1">
        <v>219</v>
      </c>
      <c r="E212" s="283">
        <v>14784873</v>
      </c>
      <c r="F212" s="283">
        <v>14433621</v>
      </c>
      <c r="G212" s="301" t="s">
        <v>140</v>
      </c>
      <c r="H212" s="292">
        <v>351252</v>
      </c>
      <c r="I212" s="292">
        <v>1695469</v>
      </c>
      <c r="J212" s="292">
        <v>1688569</v>
      </c>
      <c r="K212" s="292">
        <v>6900</v>
      </c>
      <c r="L212" s="292">
        <v>344352</v>
      </c>
    </row>
    <row r="213" spans="1:12" x14ac:dyDescent="0.25">
      <c r="A213" s="1" t="s">
        <v>401</v>
      </c>
      <c r="B213" s="126" t="s">
        <v>306</v>
      </c>
      <c r="C213" s="2" t="s">
        <v>307</v>
      </c>
      <c r="D213" s="1">
        <v>187</v>
      </c>
      <c r="E213" s="283">
        <v>13187078</v>
      </c>
      <c r="F213" s="292">
        <v>0</v>
      </c>
      <c r="G213" s="301" t="s">
        <v>140</v>
      </c>
      <c r="H213" s="292">
        <v>13187078</v>
      </c>
      <c r="I213" s="292">
        <v>0</v>
      </c>
      <c r="J213" s="292">
        <v>0</v>
      </c>
      <c r="K213" s="292">
        <v>0</v>
      </c>
      <c r="L213" s="292">
        <v>13187078</v>
      </c>
    </row>
    <row r="214" spans="1:12" x14ac:dyDescent="0.25">
      <c r="A214" s="1" t="s">
        <v>401</v>
      </c>
      <c r="B214" s="126" t="s">
        <v>372</v>
      </c>
      <c r="C214" s="2" t="s">
        <v>373</v>
      </c>
      <c r="D214" s="1">
        <v>279</v>
      </c>
      <c r="E214" s="283">
        <v>31183</v>
      </c>
      <c r="F214" s="283">
        <v>17053</v>
      </c>
      <c r="G214" s="301" t="s">
        <v>140</v>
      </c>
      <c r="H214" s="292">
        <v>14130</v>
      </c>
      <c r="I214" s="292">
        <v>0</v>
      </c>
      <c r="J214" s="292">
        <v>0</v>
      </c>
      <c r="K214" s="292">
        <v>0</v>
      </c>
      <c r="L214" s="292">
        <v>14130</v>
      </c>
    </row>
    <row r="215" spans="1:12" x14ac:dyDescent="0.25">
      <c r="A215" s="199" t="s">
        <v>402</v>
      </c>
      <c r="B215" s="200" t="s">
        <v>140</v>
      </c>
      <c r="C215" s="200" t="s">
        <v>140</v>
      </c>
      <c r="D215" s="200" t="s">
        <v>140</v>
      </c>
      <c r="E215" s="293">
        <f>SUBTOTAL(109,local200405[Program
Costs])</f>
        <v>66754926</v>
      </c>
      <c r="F215" s="293">
        <f>SUBTOTAL(109,local200405[Less: Net Payments and Offsets1])</f>
        <v>53146907</v>
      </c>
      <c r="G215" s="341" t="s">
        <v>140</v>
      </c>
      <c r="H215" s="293">
        <f>SUBTOTAL(109,local200405[Account
Payable 
Balance])</f>
        <v>13608019</v>
      </c>
      <c r="I215" s="293">
        <f>SUBTOTAL(109,local200405[Established
Account 
Receivable])</f>
        <v>7935267</v>
      </c>
      <c r="J215" s="293">
        <f>SUBTOTAL(109,local200405[Less: 
Recovered Amount])</f>
        <v>7848659</v>
      </c>
      <c r="K215" s="293">
        <f>SUBTOTAL(109,local200405[Account  Receivable
Balance])</f>
        <v>86608</v>
      </c>
      <c r="L215" s="293">
        <f>SUBTOTAL(109,local200405[Net
Balance])</f>
        <v>13521411</v>
      </c>
    </row>
    <row r="216" spans="1:12" x14ac:dyDescent="0.25">
      <c r="A216" s="195" t="s">
        <v>141</v>
      </c>
      <c r="B216" s="142"/>
      <c r="C216" s="142"/>
      <c r="D216" s="142"/>
      <c r="E216" s="26"/>
      <c r="F216" s="26"/>
      <c r="G216" s="196"/>
      <c r="H216" s="26"/>
      <c r="I216" s="26"/>
      <c r="J216" s="26"/>
      <c r="K216" s="26"/>
      <c r="L216" s="26"/>
    </row>
    <row r="217" spans="1:12" ht="50.25" x14ac:dyDescent="0.25">
      <c r="A217" s="12" t="s">
        <v>5</v>
      </c>
      <c r="B217" s="12" t="s">
        <v>6</v>
      </c>
      <c r="C217" s="12" t="s">
        <v>0</v>
      </c>
      <c r="D217" s="12" t="s">
        <v>139</v>
      </c>
      <c r="E217" s="189" t="s">
        <v>234</v>
      </c>
      <c r="F217" s="197" t="s">
        <v>310</v>
      </c>
      <c r="G217" s="198" t="s">
        <v>142</v>
      </c>
      <c r="H217" s="189" t="s">
        <v>301</v>
      </c>
      <c r="I217" s="189" t="s">
        <v>302</v>
      </c>
      <c r="J217" s="189" t="s">
        <v>303</v>
      </c>
      <c r="K217" s="189" t="s">
        <v>304</v>
      </c>
      <c r="L217" s="189" t="s">
        <v>305</v>
      </c>
    </row>
    <row r="218" spans="1:12" x14ac:dyDescent="0.25">
      <c r="A218" s="1" t="s">
        <v>403</v>
      </c>
      <c r="B218" s="126" t="s">
        <v>336</v>
      </c>
      <c r="C218" s="2" t="s">
        <v>337</v>
      </c>
      <c r="D218" s="1">
        <v>289</v>
      </c>
      <c r="E218" s="283">
        <v>11904</v>
      </c>
      <c r="F218" s="292">
        <v>0</v>
      </c>
      <c r="G218" s="301" t="s">
        <v>140</v>
      </c>
      <c r="H218" s="292">
        <v>11904</v>
      </c>
      <c r="I218" s="292">
        <v>0</v>
      </c>
      <c r="J218" s="292">
        <v>0</v>
      </c>
      <c r="K218" s="292">
        <v>0</v>
      </c>
      <c r="L218" s="292">
        <v>11904</v>
      </c>
    </row>
    <row r="219" spans="1:12" ht="30.75" x14ac:dyDescent="0.25">
      <c r="A219" s="1" t="s">
        <v>403</v>
      </c>
      <c r="B219" s="126" t="s">
        <v>324</v>
      </c>
      <c r="C219" s="2" t="s">
        <v>325</v>
      </c>
      <c r="D219" s="1">
        <v>314</v>
      </c>
      <c r="E219" s="283">
        <v>839578</v>
      </c>
      <c r="F219" s="283">
        <v>831167</v>
      </c>
      <c r="G219" s="302"/>
      <c r="H219" s="294">
        <v>8411</v>
      </c>
      <c r="I219" s="294">
        <v>0</v>
      </c>
      <c r="J219" s="294">
        <v>0</v>
      </c>
      <c r="K219" s="294">
        <v>0</v>
      </c>
      <c r="L219" s="294">
        <v>8411</v>
      </c>
    </row>
    <row r="220" spans="1:12" x14ac:dyDescent="0.25">
      <c r="A220" s="1" t="s">
        <v>403</v>
      </c>
      <c r="B220" s="126" t="s">
        <v>372</v>
      </c>
      <c r="C220" s="2" t="s">
        <v>373</v>
      </c>
      <c r="D220" s="1">
        <v>279</v>
      </c>
      <c r="E220" s="283">
        <v>148711</v>
      </c>
      <c r="F220" s="283">
        <v>124059</v>
      </c>
      <c r="G220" s="301" t="s">
        <v>140</v>
      </c>
      <c r="H220" s="292">
        <v>24652</v>
      </c>
      <c r="I220" s="292">
        <v>0</v>
      </c>
      <c r="J220" s="292">
        <v>0</v>
      </c>
      <c r="K220" s="292">
        <v>0</v>
      </c>
      <c r="L220" s="292">
        <v>24652</v>
      </c>
    </row>
    <row r="221" spans="1:12" x14ac:dyDescent="0.25">
      <c r="A221" s="199" t="s">
        <v>404</v>
      </c>
      <c r="B221" s="200" t="s">
        <v>140</v>
      </c>
      <c r="C221" s="200" t="s">
        <v>140</v>
      </c>
      <c r="D221" s="200" t="s">
        <v>140</v>
      </c>
      <c r="E221" s="293">
        <f>SUBTOTAL(109,local200304[Program
Costs])</f>
        <v>1000193</v>
      </c>
      <c r="F221" s="293">
        <f>SUBTOTAL(109,local200304[Less: Net Payments and Offsets1])</f>
        <v>955226</v>
      </c>
      <c r="G221" s="341" t="s">
        <v>140</v>
      </c>
      <c r="H221" s="293">
        <f>SUBTOTAL(109,local200304[Account
Payable 
Balance])</f>
        <v>44967</v>
      </c>
      <c r="I221" s="293">
        <f>SUBTOTAL(109,local200304[Established
Account 
Receivable])</f>
        <v>0</v>
      </c>
      <c r="J221" s="293">
        <f>SUBTOTAL(109,local200304[Less: 
Recovered Amount])</f>
        <v>0</v>
      </c>
      <c r="K221" s="293">
        <f>SUBTOTAL(109,local200304[Account  Receivable
Balance])</f>
        <v>0</v>
      </c>
      <c r="L221" s="293">
        <f>SUBTOTAL(109,local200304[Net
Balance])</f>
        <v>44967</v>
      </c>
    </row>
    <row r="222" spans="1:12" x14ac:dyDescent="0.25">
      <c r="A222" s="195" t="s">
        <v>141</v>
      </c>
      <c r="B222" s="142"/>
      <c r="C222" s="142"/>
      <c r="D222" s="142"/>
      <c r="E222" s="26"/>
      <c r="F222" s="26"/>
      <c r="G222" s="196"/>
      <c r="H222" s="26"/>
      <c r="I222" s="26"/>
      <c r="J222" s="26"/>
      <c r="K222" s="26"/>
      <c r="L222" s="26"/>
    </row>
    <row r="223" spans="1:12" ht="50.25" x14ac:dyDescent="0.25">
      <c r="A223" s="12" t="s">
        <v>5</v>
      </c>
      <c r="B223" s="12" t="s">
        <v>6</v>
      </c>
      <c r="C223" s="12" t="s">
        <v>0</v>
      </c>
      <c r="D223" s="12" t="s">
        <v>139</v>
      </c>
      <c r="E223" s="189" t="s">
        <v>234</v>
      </c>
      <c r="F223" s="197" t="s">
        <v>310</v>
      </c>
      <c r="G223" s="198" t="s">
        <v>142</v>
      </c>
      <c r="H223" s="189" t="s">
        <v>301</v>
      </c>
      <c r="I223" s="189" t="s">
        <v>302</v>
      </c>
      <c r="J223" s="189" t="s">
        <v>303</v>
      </c>
      <c r="K223" s="189" t="s">
        <v>304</v>
      </c>
      <c r="L223" s="189" t="s">
        <v>305</v>
      </c>
    </row>
    <row r="224" spans="1:12" x14ac:dyDescent="0.25">
      <c r="A224" s="1" t="s">
        <v>405</v>
      </c>
      <c r="B224" s="126" t="s">
        <v>336</v>
      </c>
      <c r="C224" s="2" t="s">
        <v>337</v>
      </c>
      <c r="D224" s="1">
        <v>289</v>
      </c>
      <c r="E224" s="283">
        <v>132994</v>
      </c>
      <c r="F224" s="294">
        <v>0</v>
      </c>
      <c r="G224" s="301" t="s">
        <v>140</v>
      </c>
      <c r="H224" s="292">
        <v>132994</v>
      </c>
      <c r="I224" s="292">
        <v>0</v>
      </c>
      <c r="J224" s="292">
        <v>0</v>
      </c>
      <c r="K224" s="292">
        <v>0</v>
      </c>
      <c r="L224" s="292">
        <v>132994</v>
      </c>
    </row>
    <row r="225" spans="1:12" ht="30.75" x14ac:dyDescent="0.25">
      <c r="A225" s="1" t="s">
        <v>405</v>
      </c>
      <c r="B225" s="126" t="s">
        <v>324</v>
      </c>
      <c r="C225" s="2" t="s">
        <v>325</v>
      </c>
      <c r="D225" s="1">
        <v>314</v>
      </c>
      <c r="E225" s="283">
        <v>800912</v>
      </c>
      <c r="F225" s="283">
        <v>792501</v>
      </c>
      <c r="G225" s="302"/>
      <c r="H225" s="294">
        <v>8411</v>
      </c>
      <c r="I225" s="294">
        <v>0</v>
      </c>
      <c r="J225" s="294">
        <v>0</v>
      </c>
      <c r="K225" s="294">
        <v>0</v>
      </c>
      <c r="L225" s="294">
        <v>8411</v>
      </c>
    </row>
    <row r="226" spans="1:12" x14ac:dyDescent="0.25">
      <c r="A226" s="1" t="s">
        <v>405</v>
      </c>
      <c r="B226" s="126" t="s">
        <v>372</v>
      </c>
      <c r="C226" s="2" t="s">
        <v>373</v>
      </c>
      <c r="D226" s="1">
        <v>279</v>
      </c>
      <c r="E226" s="283">
        <v>135482</v>
      </c>
      <c r="F226" s="283">
        <v>112687</v>
      </c>
      <c r="G226" s="301" t="s">
        <v>140</v>
      </c>
      <c r="H226" s="292">
        <v>22795</v>
      </c>
      <c r="I226" s="292">
        <v>0</v>
      </c>
      <c r="J226" s="292">
        <v>0</v>
      </c>
      <c r="K226" s="292">
        <v>0</v>
      </c>
      <c r="L226" s="292">
        <v>22795</v>
      </c>
    </row>
    <row r="227" spans="1:12" ht="15" customHeight="1" x14ac:dyDescent="0.25">
      <c r="A227" s="199" t="s">
        <v>406</v>
      </c>
      <c r="B227" s="200" t="s">
        <v>140</v>
      </c>
      <c r="C227" s="200" t="s">
        <v>140</v>
      </c>
      <c r="D227" s="200" t="s">
        <v>140</v>
      </c>
      <c r="E227" s="293">
        <f>SUBTOTAL(109,local200203[Program
Costs])</f>
        <v>1069388</v>
      </c>
      <c r="F227" s="293">
        <f>SUBTOTAL(109,local200203[Less: Net Payments and Offsets1])</f>
        <v>905188</v>
      </c>
      <c r="G227" s="341" t="s">
        <v>140</v>
      </c>
      <c r="H227" s="293">
        <f>SUBTOTAL(109,local200203[Account
Payable 
Balance])</f>
        <v>164200</v>
      </c>
      <c r="I227" s="293">
        <f>SUBTOTAL(109,local200203[Established
Account 
Receivable])</f>
        <v>0</v>
      </c>
      <c r="J227" s="293">
        <f>SUBTOTAL(109,local200203[Less: 
Recovered Amount])</f>
        <v>0</v>
      </c>
      <c r="K227" s="293">
        <f>SUBTOTAL(109,local200203[Account  Receivable
Balance])</f>
        <v>0</v>
      </c>
      <c r="L227" s="293">
        <f>SUBTOTAL(109,local200203[Net
Balance])</f>
        <v>164200</v>
      </c>
    </row>
    <row r="228" spans="1:12" x14ac:dyDescent="0.25">
      <c r="A228" s="195" t="s">
        <v>141</v>
      </c>
      <c r="B228" s="142"/>
      <c r="C228" s="142"/>
      <c r="D228" s="142"/>
      <c r="E228" s="26"/>
      <c r="F228" s="26"/>
      <c r="G228" s="196"/>
      <c r="H228" s="26"/>
      <c r="I228" s="26"/>
      <c r="J228" s="26"/>
      <c r="K228" s="26"/>
      <c r="L228" s="26"/>
    </row>
    <row r="229" spans="1:12" ht="50.25" x14ac:dyDescent="0.25">
      <c r="A229" s="12" t="s">
        <v>5</v>
      </c>
      <c r="B229" s="12" t="s">
        <v>6</v>
      </c>
      <c r="C229" s="12" t="s">
        <v>0</v>
      </c>
      <c r="D229" s="12" t="s">
        <v>139</v>
      </c>
      <c r="E229" s="189" t="s">
        <v>234</v>
      </c>
      <c r="F229" s="197" t="s">
        <v>310</v>
      </c>
      <c r="G229" s="198" t="s">
        <v>142</v>
      </c>
      <c r="H229" s="189" t="s">
        <v>301</v>
      </c>
      <c r="I229" s="189" t="s">
        <v>302</v>
      </c>
      <c r="J229" s="189" t="s">
        <v>303</v>
      </c>
      <c r="K229" s="189" t="s">
        <v>304</v>
      </c>
      <c r="L229" s="189" t="s">
        <v>305</v>
      </c>
    </row>
    <row r="230" spans="1:12" x14ac:dyDescent="0.25">
      <c r="A230" s="1" t="s">
        <v>407</v>
      </c>
      <c r="B230" s="126" t="s">
        <v>344</v>
      </c>
      <c r="C230" s="2" t="s">
        <v>345</v>
      </c>
      <c r="D230" s="1">
        <v>213</v>
      </c>
      <c r="E230" s="283">
        <v>14577947</v>
      </c>
      <c r="F230" s="283">
        <v>14577947</v>
      </c>
      <c r="G230" s="301" t="s">
        <v>140</v>
      </c>
      <c r="H230" s="292">
        <v>0</v>
      </c>
      <c r="I230" s="292">
        <v>25647</v>
      </c>
      <c r="J230" s="292">
        <v>18475</v>
      </c>
      <c r="K230" s="292">
        <v>7172</v>
      </c>
      <c r="L230" s="292">
        <v>-7172</v>
      </c>
    </row>
    <row r="231" spans="1:12" x14ac:dyDescent="0.25">
      <c r="A231" s="1" t="s">
        <v>407</v>
      </c>
      <c r="B231" s="126" t="s">
        <v>336</v>
      </c>
      <c r="C231" s="2" t="s">
        <v>337</v>
      </c>
      <c r="D231" s="1">
        <v>289</v>
      </c>
      <c r="E231" s="283">
        <v>116534</v>
      </c>
      <c r="F231" s="292">
        <v>0</v>
      </c>
      <c r="G231" s="301" t="s">
        <v>140</v>
      </c>
      <c r="H231" s="292">
        <v>116534</v>
      </c>
      <c r="I231" s="292">
        <v>0</v>
      </c>
      <c r="J231" s="292">
        <v>0</v>
      </c>
      <c r="K231" s="292">
        <v>0</v>
      </c>
      <c r="L231" s="292">
        <v>116534</v>
      </c>
    </row>
    <row r="232" spans="1:12" x14ac:dyDescent="0.25">
      <c r="A232" s="1" t="s">
        <v>407</v>
      </c>
      <c r="B232" s="126" t="s">
        <v>408</v>
      </c>
      <c r="C232" s="2" t="s">
        <v>409</v>
      </c>
      <c r="D232" s="1">
        <v>161</v>
      </c>
      <c r="E232" s="283">
        <v>6083222</v>
      </c>
      <c r="F232" s="283">
        <v>6083222</v>
      </c>
      <c r="G232" s="301" t="s">
        <v>140</v>
      </c>
      <c r="H232" s="292">
        <v>0</v>
      </c>
      <c r="I232" s="292">
        <v>214181</v>
      </c>
      <c r="J232" s="292">
        <v>212019</v>
      </c>
      <c r="K232" s="292">
        <v>2162</v>
      </c>
      <c r="L232" s="292">
        <v>-2162</v>
      </c>
    </row>
    <row r="233" spans="1:12" x14ac:dyDescent="0.25">
      <c r="A233" s="83" t="s">
        <v>407</v>
      </c>
      <c r="B233" s="201" t="s">
        <v>372</v>
      </c>
      <c r="C233" s="5" t="s">
        <v>373</v>
      </c>
      <c r="D233" s="83">
        <v>279</v>
      </c>
      <c r="E233" s="292">
        <v>73775</v>
      </c>
      <c r="F233" s="292">
        <v>62375</v>
      </c>
      <c r="G233" s="301" t="s">
        <v>140</v>
      </c>
      <c r="H233" s="292">
        <v>11400</v>
      </c>
      <c r="I233" s="292">
        <v>0</v>
      </c>
      <c r="J233" s="292">
        <v>0</v>
      </c>
      <c r="K233" s="292">
        <v>0</v>
      </c>
      <c r="L233" s="292">
        <v>11400</v>
      </c>
    </row>
    <row r="234" spans="1:12" x14ac:dyDescent="0.25">
      <c r="A234" s="199" t="s">
        <v>410</v>
      </c>
      <c r="B234" s="200" t="s">
        <v>140</v>
      </c>
      <c r="C234" s="200" t="s">
        <v>140</v>
      </c>
      <c r="D234" s="200" t="s">
        <v>140</v>
      </c>
      <c r="E234" s="293">
        <f>SUBTOTAL(109,local200102[Program
Costs])</f>
        <v>20851478</v>
      </c>
      <c r="F234" s="293">
        <f>SUBTOTAL(109,local200102[Less: Net Payments and Offsets1])</f>
        <v>20723544</v>
      </c>
      <c r="G234" s="341" t="s">
        <v>140</v>
      </c>
      <c r="H234" s="293">
        <f>SUBTOTAL(109,local200102[Account
Payable 
Balance])</f>
        <v>127934</v>
      </c>
      <c r="I234" s="293">
        <f>SUBTOTAL(109,local200102[Established
Account 
Receivable])</f>
        <v>239828</v>
      </c>
      <c r="J234" s="293">
        <f>SUBTOTAL(109,local200102[Less: 
Recovered Amount])</f>
        <v>230494</v>
      </c>
      <c r="K234" s="293">
        <f>SUBTOTAL(109,local200102[Account  Receivable
Balance])</f>
        <v>9334</v>
      </c>
      <c r="L234" s="293">
        <f>SUBTOTAL(109,local200102[Net
Balance])</f>
        <v>118600</v>
      </c>
    </row>
    <row r="235" spans="1:12" x14ac:dyDescent="0.25">
      <c r="A235" s="195" t="s">
        <v>141</v>
      </c>
      <c r="B235" s="142"/>
      <c r="C235" s="142"/>
      <c r="D235" s="142"/>
      <c r="E235" s="26"/>
      <c r="F235" s="26"/>
      <c r="G235" s="196"/>
      <c r="H235" s="26"/>
      <c r="I235" s="26"/>
      <c r="J235" s="26"/>
      <c r="K235" s="26"/>
      <c r="L235" s="26"/>
    </row>
    <row r="236" spans="1:12" ht="50.25" x14ac:dyDescent="0.25">
      <c r="A236" s="12" t="s">
        <v>5</v>
      </c>
      <c r="B236" s="12" t="s">
        <v>6</v>
      </c>
      <c r="C236" s="12" t="s">
        <v>0</v>
      </c>
      <c r="D236" s="12" t="s">
        <v>139</v>
      </c>
      <c r="E236" s="189" t="s">
        <v>234</v>
      </c>
      <c r="F236" s="197" t="s">
        <v>310</v>
      </c>
      <c r="G236" s="198" t="s">
        <v>142</v>
      </c>
      <c r="H236" s="189" t="s">
        <v>301</v>
      </c>
      <c r="I236" s="189" t="s">
        <v>302</v>
      </c>
      <c r="J236" s="189" t="s">
        <v>303</v>
      </c>
      <c r="K236" s="189" t="s">
        <v>304</v>
      </c>
      <c r="L236" s="189" t="s">
        <v>305</v>
      </c>
    </row>
    <row r="237" spans="1:12" x14ac:dyDescent="0.25">
      <c r="A237" s="83" t="s">
        <v>411</v>
      </c>
      <c r="B237" s="201" t="s">
        <v>336</v>
      </c>
      <c r="C237" s="5" t="s">
        <v>337</v>
      </c>
      <c r="D237" s="83">
        <v>289</v>
      </c>
      <c r="E237" s="292">
        <v>112301</v>
      </c>
      <c r="F237" s="292">
        <v>0</v>
      </c>
      <c r="G237" s="301" t="s">
        <v>140</v>
      </c>
      <c r="H237" s="292">
        <v>112301</v>
      </c>
      <c r="I237" s="292">
        <v>0</v>
      </c>
      <c r="J237" s="292">
        <v>0</v>
      </c>
      <c r="K237" s="292">
        <v>0</v>
      </c>
      <c r="L237" s="292">
        <v>112301</v>
      </c>
    </row>
    <row r="238" spans="1:12" x14ac:dyDescent="0.25">
      <c r="A238" s="202" t="s">
        <v>412</v>
      </c>
      <c r="B238" s="87" t="s">
        <v>140</v>
      </c>
      <c r="C238" s="87" t="s">
        <v>140</v>
      </c>
      <c r="D238" s="87" t="s">
        <v>140</v>
      </c>
      <c r="E238" s="244">
        <f>SUBTOTAL(109,local200001[Program
Costs])</f>
        <v>112301</v>
      </c>
      <c r="F238" s="244">
        <f>SUBTOTAL(109,local200001[Less: Net Payments and Offsets1])</f>
        <v>0</v>
      </c>
      <c r="G238" s="342" t="s">
        <v>140</v>
      </c>
      <c r="H238" s="244">
        <f>SUBTOTAL(109,local200001[Account
Payable 
Balance])</f>
        <v>112301</v>
      </c>
      <c r="I238" s="244">
        <f>SUBTOTAL(109,local200001[Established
Account 
Receivable])</f>
        <v>0</v>
      </c>
      <c r="J238" s="244">
        <f>SUBTOTAL(109,local200001[Less: 
Recovered Amount])</f>
        <v>0</v>
      </c>
      <c r="K238" s="244">
        <f>SUBTOTAL(109,local200001[Account  Receivable
Balance])</f>
        <v>0</v>
      </c>
      <c r="L238" s="244">
        <f>SUBTOTAL(109,local200001[Net
Balance])</f>
        <v>112301</v>
      </c>
    </row>
    <row r="239" spans="1:12" x14ac:dyDescent="0.25">
      <c r="A239" s="195" t="s">
        <v>141</v>
      </c>
      <c r="B239" s="142"/>
      <c r="C239" s="142"/>
      <c r="D239" s="142"/>
      <c r="E239" s="26"/>
      <c r="F239" s="26"/>
      <c r="G239" s="196"/>
      <c r="H239" s="26"/>
      <c r="I239" s="26"/>
      <c r="J239" s="26"/>
      <c r="K239" s="26"/>
      <c r="L239" s="26"/>
    </row>
    <row r="240" spans="1:12" ht="50.25" x14ac:dyDescent="0.25">
      <c r="A240" s="12" t="s">
        <v>5</v>
      </c>
      <c r="B240" s="12" t="s">
        <v>6</v>
      </c>
      <c r="C240" s="12" t="s">
        <v>0</v>
      </c>
      <c r="D240" s="12" t="s">
        <v>139</v>
      </c>
      <c r="E240" s="189" t="s">
        <v>234</v>
      </c>
      <c r="F240" s="197" t="s">
        <v>310</v>
      </c>
      <c r="G240" s="198" t="s">
        <v>142</v>
      </c>
      <c r="H240" s="189" t="s">
        <v>301</v>
      </c>
      <c r="I240" s="189" t="s">
        <v>302</v>
      </c>
      <c r="J240" s="189" t="s">
        <v>303</v>
      </c>
      <c r="K240" s="189" t="s">
        <v>304</v>
      </c>
      <c r="L240" s="189" t="s">
        <v>305</v>
      </c>
    </row>
    <row r="241" spans="1:12" x14ac:dyDescent="0.25">
      <c r="A241" s="83" t="s">
        <v>413</v>
      </c>
      <c r="B241" s="201" t="s">
        <v>344</v>
      </c>
      <c r="C241" s="5" t="s">
        <v>345</v>
      </c>
      <c r="D241" s="83">
        <v>213</v>
      </c>
      <c r="E241" s="292">
        <v>13692831</v>
      </c>
      <c r="F241" s="292">
        <v>13692379</v>
      </c>
      <c r="G241" s="301" t="s">
        <v>140</v>
      </c>
      <c r="H241" s="292">
        <v>452</v>
      </c>
      <c r="I241" s="292">
        <v>3459493</v>
      </c>
      <c r="J241" s="292">
        <v>3459493</v>
      </c>
      <c r="K241" s="292">
        <v>0</v>
      </c>
      <c r="L241" s="292">
        <v>452</v>
      </c>
    </row>
    <row r="242" spans="1:12" x14ac:dyDescent="0.25">
      <c r="A242" s="83" t="s">
        <v>413</v>
      </c>
      <c r="B242" s="201" t="s">
        <v>336</v>
      </c>
      <c r="C242" s="5" t="s">
        <v>337</v>
      </c>
      <c r="D242" s="83">
        <v>289</v>
      </c>
      <c r="E242" s="292">
        <v>32985</v>
      </c>
      <c r="F242" s="292">
        <v>0</v>
      </c>
      <c r="G242" s="301" t="s">
        <v>140</v>
      </c>
      <c r="H242" s="292">
        <v>32985</v>
      </c>
      <c r="I242" s="292">
        <v>0</v>
      </c>
      <c r="J242" s="292">
        <v>0</v>
      </c>
      <c r="K242" s="292">
        <v>0</v>
      </c>
      <c r="L242" s="292">
        <v>32985</v>
      </c>
    </row>
    <row r="243" spans="1:12" x14ac:dyDescent="0.25">
      <c r="A243" s="83" t="s">
        <v>413</v>
      </c>
      <c r="B243" s="201" t="s">
        <v>366</v>
      </c>
      <c r="C243" s="5" t="s">
        <v>367</v>
      </c>
      <c r="D243" s="83">
        <v>124</v>
      </c>
      <c r="E243" s="292">
        <v>811698</v>
      </c>
      <c r="F243" s="292">
        <v>811698</v>
      </c>
      <c r="G243" s="301" t="s">
        <v>140</v>
      </c>
      <c r="H243" s="292">
        <v>0</v>
      </c>
      <c r="I243" s="292">
        <v>1488386</v>
      </c>
      <c r="J243" s="292">
        <v>1402610</v>
      </c>
      <c r="K243" s="292">
        <v>85776</v>
      </c>
      <c r="L243" s="292">
        <v>-85776</v>
      </c>
    </row>
    <row r="244" spans="1:12" x14ac:dyDescent="0.25">
      <c r="A244" s="83" t="s">
        <v>413</v>
      </c>
      <c r="B244" s="201" t="s">
        <v>414</v>
      </c>
      <c r="C244" s="5" t="s">
        <v>415</v>
      </c>
      <c r="D244" s="83">
        <v>180</v>
      </c>
      <c r="E244" s="292">
        <v>105659</v>
      </c>
      <c r="F244" s="292">
        <v>105659</v>
      </c>
      <c r="G244" s="301" t="s">
        <v>140</v>
      </c>
      <c r="H244" s="292">
        <v>0</v>
      </c>
      <c r="I244" s="292">
        <v>14707</v>
      </c>
      <c r="J244" s="292">
        <v>13726</v>
      </c>
      <c r="K244" s="292">
        <v>981</v>
      </c>
      <c r="L244" s="292">
        <v>-981</v>
      </c>
    </row>
    <row r="245" spans="1:12" x14ac:dyDescent="0.25">
      <c r="A245" s="202" t="s">
        <v>416</v>
      </c>
      <c r="B245" s="87" t="s">
        <v>140</v>
      </c>
      <c r="C245" s="87" t="s">
        <v>140</v>
      </c>
      <c r="D245" s="87" t="s">
        <v>140</v>
      </c>
      <c r="E245" s="244">
        <f>SUBTOTAL(109,local199900[Program
Costs])</f>
        <v>14643173</v>
      </c>
      <c r="F245" s="244">
        <f>SUBTOTAL(109,local199900[Less: Net Payments and Offsets1])</f>
        <v>14609736</v>
      </c>
      <c r="G245" s="342" t="s">
        <v>140</v>
      </c>
      <c r="H245" s="244">
        <f>SUBTOTAL(109,local199900[Account
Payable 
Balance])</f>
        <v>33437</v>
      </c>
      <c r="I245" s="244">
        <f>SUBTOTAL(109,local199900[Established
Account 
Receivable])</f>
        <v>4962586</v>
      </c>
      <c r="J245" s="244">
        <f>SUBTOTAL(109,local199900[Less: 
Recovered Amount])</f>
        <v>4875829</v>
      </c>
      <c r="K245" s="244">
        <f>SUBTOTAL(109,local199900[Account  Receivable
Balance])</f>
        <v>86757</v>
      </c>
      <c r="L245" s="244">
        <f>SUBTOTAL(109,local199900[Net
Balance])</f>
        <v>-53320</v>
      </c>
    </row>
    <row r="246" spans="1:12" x14ac:dyDescent="0.25">
      <c r="A246" s="195" t="s">
        <v>141</v>
      </c>
      <c r="B246" s="142"/>
      <c r="C246" s="142"/>
      <c r="D246" s="142"/>
      <c r="E246" s="26"/>
      <c r="F246" s="26"/>
      <c r="G246" s="196"/>
      <c r="H246" s="26"/>
      <c r="I246" s="26"/>
      <c r="J246" s="26"/>
      <c r="K246" s="26"/>
      <c r="L246" s="26"/>
    </row>
    <row r="247" spans="1:12" ht="50.25" x14ac:dyDescent="0.25">
      <c r="A247" s="12" t="s">
        <v>5</v>
      </c>
      <c r="B247" s="12" t="s">
        <v>6</v>
      </c>
      <c r="C247" s="12" t="s">
        <v>0</v>
      </c>
      <c r="D247" s="12" t="s">
        <v>139</v>
      </c>
      <c r="E247" s="189" t="s">
        <v>234</v>
      </c>
      <c r="F247" s="197" t="s">
        <v>310</v>
      </c>
      <c r="G247" s="198" t="s">
        <v>142</v>
      </c>
      <c r="H247" s="189" t="s">
        <v>301</v>
      </c>
      <c r="I247" s="189" t="s">
        <v>302</v>
      </c>
      <c r="J247" s="189" t="s">
        <v>303</v>
      </c>
      <c r="K247" s="189" t="s">
        <v>304</v>
      </c>
      <c r="L247" s="189" t="s">
        <v>305</v>
      </c>
    </row>
    <row r="248" spans="1:12" x14ac:dyDescent="0.25">
      <c r="A248" s="83" t="s">
        <v>417</v>
      </c>
      <c r="B248" s="201" t="s">
        <v>344</v>
      </c>
      <c r="C248" s="5" t="s">
        <v>345</v>
      </c>
      <c r="D248" s="83">
        <v>213</v>
      </c>
      <c r="E248" s="292">
        <v>2654301</v>
      </c>
      <c r="F248" s="292">
        <v>2613916</v>
      </c>
      <c r="G248" s="301" t="s">
        <v>140</v>
      </c>
      <c r="H248" s="292">
        <v>40385</v>
      </c>
      <c r="I248" s="292">
        <v>1280135</v>
      </c>
      <c r="J248" s="292">
        <v>1280135</v>
      </c>
      <c r="K248" s="292">
        <v>0</v>
      </c>
      <c r="L248" s="292">
        <v>40385</v>
      </c>
    </row>
    <row r="249" spans="1:12" ht="15.75" customHeight="1" x14ac:dyDescent="0.25">
      <c r="A249" s="83" t="s">
        <v>417</v>
      </c>
      <c r="B249" s="201" t="s">
        <v>418</v>
      </c>
      <c r="C249" s="5" t="s">
        <v>327</v>
      </c>
      <c r="D249" s="83">
        <v>49</v>
      </c>
      <c r="E249" s="292">
        <v>5316132</v>
      </c>
      <c r="F249" s="292">
        <v>5316132</v>
      </c>
      <c r="G249" s="301" t="s">
        <v>140</v>
      </c>
      <c r="H249" s="292">
        <v>0</v>
      </c>
      <c r="I249" s="292">
        <v>670665</v>
      </c>
      <c r="J249" s="292">
        <v>669938</v>
      </c>
      <c r="K249" s="292">
        <v>727</v>
      </c>
      <c r="L249" s="292">
        <v>-727</v>
      </c>
    </row>
    <row r="250" spans="1:12" x14ac:dyDescent="0.25">
      <c r="A250" s="83" t="s">
        <v>417</v>
      </c>
      <c r="B250" s="201" t="s">
        <v>419</v>
      </c>
      <c r="C250" s="5" t="s">
        <v>420</v>
      </c>
      <c r="D250" s="83">
        <v>55</v>
      </c>
      <c r="E250" s="292">
        <v>1323819</v>
      </c>
      <c r="F250" s="292">
        <v>1323819</v>
      </c>
      <c r="G250" s="301" t="s">
        <v>140</v>
      </c>
      <c r="H250" s="292">
        <v>0</v>
      </c>
      <c r="I250" s="292">
        <v>647104</v>
      </c>
      <c r="J250" s="292">
        <v>481403</v>
      </c>
      <c r="K250" s="292">
        <v>165701</v>
      </c>
      <c r="L250" s="292">
        <v>-165701</v>
      </c>
    </row>
    <row r="251" spans="1:12" x14ac:dyDescent="0.25">
      <c r="A251" s="202" t="s">
        <v>421</v>
      </c>
      <c r="B251" s="87" t="s">
        <v>140</v>
      </c>
      <c r="C251" s="87" t="s">
        <v>140</v>
      </c>
      <c r="D251" s="87" t="s">
        <v>140</v>
      </c>
      <c r="E251" s="244">
        <f>SUBTOTAL(109,local199899[Program
Costs])</f>
        <v>9294252</v>
      </c>
      <c r="F251" s="244">
        <f>SUBTOTAL(109,local199899[Less: Net Payments and Offsets1])</f>
        <v>9253867</v>
      </c>
      <c r="G251" s="342" t="s">
        <v>140</v>
      </c>
      <c r="H251" s="244">
        <f>SUBTOTAL(109,local199899[Account
Payable 
Balance])</f>
        <v>40385</v>
      </c>
      <c r="I251" s="244">
        <f>SUBTOTAL(109,local199899[Established
Account 
Receivable])</f>
        <v>2597904</v>
      </c>
      <c r="J251" s="244">
        <f>SUBTOTAL(109,local199899[Less: 
Recovered Amount])</f>
        <v>2431476</v>
      </c>
      <c r="K251" s="244">
        <f>SUBTOTAL(109,local199899[Account  Receivable
Balance])</f>
        <v>166428</v>
      </c>
      <c r="L251" s="244">
        <f>SUBTOTAL(109,local199899[Net
Balance])</f>
        <v>-126043</v>
      </c>
    </row>
    <row r="252" spans="1:12" x14ac:dyDescent="0.25">
      <c r="A252" s="195" t="s">
        <v>141</v>
      </c>
      <c r="B252" s="142"/>
      <c r="C252" s="142"/>
      <c r="D252" s="142"/>
      <c r="E252" s="26"/>
      <c r="F252" s="26"/>
      <c r="G252" s="196"/>
      <c r="H252" s="26"/>
      <c r="I252" s="26"/>
      <c r="J252" s="26"/>
      <c r="K252" s="26"/>
      <c r="L252" s="26"/>
    </row>
    <row r="253" spans="1:12" ht="50.25" x14ac:dyDescent="0.25">
      <c r="A253" s="12" t="s">
        <v>5</v>
      </c>
      <c r="B253" s="12" t="s">
        <v>6</v>
      </c>
      <c r="C253" s="12" t="s">
        <v>0</v>
      </c>
      <c r="D253" s="12" t="s">
        <v>139</v>
      </c>
      <c r="E253" s="189" t="s">
        <v>234</v>
      </c>
      <c r="F253" s="197" t="s">
        <v>310</v>
      </c>
      <c r="G253" s="198" t="s">
        <v>142</v>
      </c>
      <c r="H253" s="189" t="s">
        <v>301</v>
      </c>
      <c r="I253" s="189" t="s">
        <v>302</v>
      </c>
      <c r="J253" s="189" t="s">
        <v>303</v>
      </c>
      <c r="K253" s="189" t="s">
        <v>304</v>
      </c>
      <c r="L253" s="189" t="s">
        <v>305</v>
      </c>
    </row>
    <row r="254" spans="1:12" x14ac:dyDescent="0.25">
      <c r="A254" s="83" t="s">
        <v>422</v>
      </c>
      <c r="B254" s="201" t="s">
        <v>338</v>
      </c>
      <c r="C254" s="5" t="s">
        <v>339</v>
      </c>
      <c r="D254" s="83">
        <v>41</v>
      </c>
      <c r="E254" s="292">
        <v>3841394</v>
      </c>
      <c r="F254" s="292">
        <v>3841394</v>
      </c>
      <c r="G254" s="301" t="s">
        <v>140</v>
      </c>
      <c r="H254" s="292">
        <v>0</v>
      </c>
      <c r="I254" s="292">
        <v>230325</v>
      </c>
      <c r="J254" s="292">
        <v>229212</v>
      </c>
      <c r="K254" s="292">
        <v>1113</v>
      </c>
      <c r="L254" s="292">
        <v>-1113</v>
      </c>
    </row>
    <row r="255" spans="1:12" x14ac:dyDescent="0.25">
      <c r="A255" s="83" t="s">
        <v>422</v>
      </c>
      <c r="B255" s="201" t="s">
        <v>418</v>
      </c>
      <c r="C255" s="5" t="s">
        <v>327</v>
      </c>
      <c r="D255" s="83">
        <v>49</v>
      </c>
      <c r="E255" s="292">
        <v>4707412</v>
      </c>
      <c r="F255" s="292">
        <v>4707412</v>
      </c>
      <c r="G255" s="301" t="s">
        <v>140</v>
      </c>
      <c r="H255" s="292">
        <v>0</v>
      </c>
      <c r="I255" s="292">
        <v>183902</v>
      </c>
      <c r="J255" s="292">
        <v>183169</v>
      </c>
      <c r="K255" s="292">
        <v>733</v>
      </c>
      <c r="L255" s="292">
        <v>-733</v>
      </c>
    </row>
    <row r="256" spans="1:12" x14ac:dyDescent="0.25">
      <c r="A256" s="202" t="s">
        <v>423</v>
      </c>
      <c r="B256" s="87" t="s">
        <v>140</v>
      </c>
      <c r="C256" s="87" t="s">
        <v>140</v>
      </c>
      <c r="D256" s="87" t="s">
        <v>140</v>
      </c>
      <c r="E256" s="244">
        <f>SUBTOTAL(109,local199798[Program
Costs])</f>
        <v>8548806</v>
      </c>
      <c r="F256" s="244">
        <f>SUBTOTAL(109,local199798[Less: Net Payments and Offsets1])</f>
        <v>8548806</v>
      </c>
      <c r="G256" s="342" t="s">
        <v>140</v>
      </c>
      <c r="H256" s="244">
        <f>SUBTOTAL(109,local199798[Account
Payable 
Balance])</f>
        <v>0</v>
      </c>
      <c r="I256" s="244">
        <f>SUBTOTAL(109,local199798[Established
Account 
Receivable])</f>
        <v>414227</v>
      </c>
      <c r="J256" s="244">
        <f>SUBTOTAL(109,local199798[Less: 
Recovered Amount])</f>
        <v>412381</v>
      </c>
      <c r="K256" s="244">
        <f>SUBTOTAL(109,local199798[Account  Receivable
Balance])</f>
        <v>1846</v>
      </c>
      <c r="L256" s="244">
        <f>SUBTOTAL(109,local199798[Net
Balance])</f>
        <v>-1846</v>
      </c>
    </row>
    <row r="257" spans="1:12" x14ac:dyDescent="0.25">
      <c r="A257" s="195" t="s">
        <v>141</v>
      </c>
      <c r="B257" s="142"/>
      <c r="C257" s="142"/>
      <c r="D257" s="142"/>
      <c r="E257" s="26"/>
      <c r="F257" s="26"/>
      <c r="G257" s="196"/>
      <c r="H257" s="26"/>
      <c r="I257" s="26"/>
      <c r="J257" s="26"/>
      <c r="K257" s="26"/>
      <c r="L257" s="26"/>
    </row>
    <row r="258" spans="1:12" ht="50.25" x14ac:dyDescent="0.25">
      <c r="A258" s="12" t="s">
        <v>5</v>
      </c>
      <c r="B258" s="12" t="s">
        <v>6</v>
      </c>
      <c r="C258" s="12" t="s">
        <v>0</v>
      </c>
      <c r="D258" s="12" t="s">
        <v>139</v>
      </c>
      <c r="E258" s="189" t="s">
        <v>234</v>
      </c>
      <c r="F258" s="197" t="s">
        <v>310</v>
      </c>
      <c r="G258" s="198" t="s">
        <v>142</v>
      </c>
      <c r="H258" s="189" t="s">
        <v>301</v>
      </c>
      <c r="I258" s="189" t="s">
        <v>302</v>
      </c>
      <c r="J258" s="189" t="s">
        <v>303</v>
      </c>
      <c r="K258" s="189" t="s">
        <v>304</v>
      </c>
      <c r="L258" s="189" t="s">
        <v>305</v>
      </c>
    </row>
    <row r="259" spans="1:12" x14ac:dyDescent="0.25">
      <c r="A259" s="83" t="s">
        <v>424</v>
      </c>
      <c r="B259" s="201" t="s">
        <v>338</v>
      </c>
      <c r="C259" s="5" t="s">
        <v>339</v>
      </c>
      <c r="D259" s="83">
        <v>41</v>
      </c>
      <c r="E259" s="292">
        <v>3560480</v>
      </c>
      <c r="F259" s="292">
        <v>3560480</v>
      </c>
      <c r="G259" s="301" t="s">
        <v>140</v>
      </c>
      <c r="H259" s="292">
        <v>0</v>
      </c>
      <c r="I259" s="292">
        <v>319940</v>
      </c>
      <c r="J259" s="292">
        <v>319763</v>
      </c>
      <c r="K259" s="292">
        <v>177</v>
      </c>
      <c r="L259" s="292">
        <v>-177</v>
      </c>
    </row>
    <row r="260" spans="1:12" x14ac:dyDescent="0.25">
      <c r="A260" s="202" t="s">
        <v>425</v>
      </c>
      <c r="B260" s="87" t="s">
        <v>140</v>
      </c>
      <c r="C260" s="87" t="s">
        <v>140</v>
      </c>
      <c r="D260" s="87" t="s">
        <v>140</v>
      </c>
      <c r="E260" s="244">
        <f>SUBTOTAL(109,local199697[Program
Costs])</f>
        <v>3560480</v>
      </c>
      <c r="F260" s="244">
        <f>SUBTOTAL(109,local199697[Less: Net Payments and Offsets1])</f>
        <v>3560480</v>
      </c>
      <c r="G260" s="342" t="s">
        <v>140</v>
      </c>
      <c r="H260" s="244">
        <f>SUBTOTAL(109,local199697[Account
Payable 
Balance])</f>
        <v>0</v>
      </c>
      <c r="I260" s="244">
        <f>SUBTOTAL(109,local199697[Established
Account 
Receivable])</f>
        <v>319940</v>
      </c>
      <c r="J260" s="244">
        <f>SUBTOTAL(109,local199697[Less: 
Recovered Amount])</f>
        <v>319763</v>
      </c>
      <c r="K260" s="244">
        <f>SUBTOTAL(109,local199697[Account  Receivable
Balance])</f>
        <v>177</v>
      </c>
      <c r="L260" s="244">
        <f>SUBTOTAL(109,local199697[Net
Balance])</f>
        <v>-177</v>
      </c>
    </row>
    <row r="261" spans="1:12" x14ac:dyDescent="0.25">
      <c r="A261" s="195" t="s">
        <v>141</v>
      </c>
      <c r="B261" s="142"/>
      <c r="C261" s="142"/>
      <c r="D261" s="142"/>
      <c r="E261" s="26"/>
      <c r="F261" s="26"/>
      <c r="G261" s="196"/>
      <c r="H261" s="26"/>
      <c r="I261" s="26"/>
      <c r="J261" s="26"/>
      <c r="K261" s="26"/>
      <c r="L261" s="26"/>
    </row>
    <row r="262" spans="1:12" ht="50.25" x14ac:dyDescent="0.25">
      <c r="A262" s="12" t="s">
        <v>5</v>
      </c>
      <c r="B262" s="12" t="s">
        <v>6</v>
      </c>
      <c r="C262" s="12" t="s">
        <v>0</v>
      </c>
      <c r="D262" s="12" t="s">
        <v>139</v>
      </c>
      <c r="E262" s="189" t="s">
        <v>234</v>
      </c>
      <c r="F262" s="197" t="s">
        <v>310</v>
      </c>
      <c r="G262" s="198" t="s">
        <v>142</v>
      </c>
      <c r="H262" s="189" t="s">
        <v>301</v>
      </c>
      <c r="I262" s="189" t="s">
        <v>302</v>
      </c>
      <c r="J262" s="189" t="s">
        <v>303</v>
      </c>
      <c r="K262" s="189" t="s">
        <v>304</v>
      </c>
      <c r="L262" s="189" t="s">
        <v>305</v>
      </c>
    </row>
    <row r="263" spans="1:12" x14ac:dyDescent="0.25">
      <c r="A263" s="83" t="s">
        <v>426</v>
      </c>
      <c r="B263" s="201" t="s">
        <v>338</v>
      </c>
      <c r="C263" s="5" t="s">
        <v>339</v>
      </c>
      <c r="D263" s="83">
        <v>41</v>
      </c>
      <c r="E263" s="292">
        <v>2968144</v>
      </c>
      <c r="F263" s="292">
        <v>2968144</v>
      </c>
      <c r="G263" s="301" t="s">
        <v>140</v>
      </c>
      <c r="H263" s="292">
        <v>0</v>
      </c>
      <c r="I263" s="292">
        <v>661263</v>
      </c>
      <c r="J263" s="292">
        <v>658009</v>
      </c>
      <c r="K263" s="292">
        <v>3254</v>
      </c>
      <c r="L263" s="292">
        <v>-3254</v>
      </c>
    </row>
    <row r="264" spans="1:12" x14ac:dyDescent="0.25">
      <c r="A264" s="83" t="s">
        <v>426</v>
      </c>
      <c r="B264" s="201" t="s">
        <v>418</v>
      </c>
      <c r="C264" s="5" t="s">
        <v>327</v>
      </c>
      <c r="D264" s="83">
        <v>49</v>
      </c>
      <c r="E264" s="292">
        <v>3690222</v>
      </c>
      <c r="F264" s="292">
        <v>3690222</v>
      </c>
      <c r="G264" s="301" t="s">
        <v>140</v>
      </c>
      <c r="H264" s="292">
        <v>0</v>
      </c>
      <c r="I264" s="292">
        <v>870559</v>
      </c>
      <c r="J264" s="292">
        <v>867771</v>
      </c>
      <c r="K264" s="292">
        <v>2788</v>
      </c>
      <c r="L264" s="292">
        <v>-2788</v>
      </c>
    </row>
    <row r="265" spans="1:12" x14ac:dyDescent="0.25">
      <c r="A265" s="202" t="s">
        <v>427</v>
      </c>
      <c r="B265" s="87" t="s">
        <v>140</v>
      </c>
      <c r="C265" s="87" t="s">
        <v>140</v>
      </c>
      <c r="D265" s="87" t="s">
        <v>140</v>
      </c>
      <c r="E265" s="244">
        <f>SUBTOTAL(109,local199596[Program
Costs])</f>
        <v>6658366</v>
      </c>
      <c r="F265" s="244">
        <f>SUBTOTAL(109,local199596[Less: Net Payments and Offsets1])</f>
        <v>6658366</v>
      </c>
      <c r="G265" s="342" t="s">
        <v>140</v>
      </c>
      <c r="H265" s="244">
        <f>SUBTOTAL(109,local199596[Account
Payable 
Balance])</f>
        <v>0</v>
      </c>
      <c r="I265" s="244">
        <f>SUBTOTAL(109,local199596[Established
Account 
Receivable])</f>
        <v>1531822</v>
      </c>
      <c r="J265" s="244">
        <f>SUBTOTAL(109,local199596[Less: 
Recovered Amount])</f>
        <v>1525780</v>
      </c>
      <c r="K265" s="244">
        <f>SUBTOTAL(109,local199596[Account  Receivable
Balance])</f>
        <v>6042</v>
      </c>
      <c r="L265" s="244">
        <f>SUBTOTAL(109,local199596[Net
Balance])</f>
        <v>-6042</v>
      </c>
    </row>
    <row r="266" spans="1:12" x14ac:dyDescent="0.25">
      <c r="A266" s="195" t="s">
        <v>141</v>
      </c>
      <c r="B266" s="142"/>
      <c r="C266" s="142"/>
      <c r="D266" s="142"/>
      <c r="E266" s="26"/>
      <c r="F266" s="26"/>
      <c r="G266" s="196"/>
      <c r="H266" s="26"/>
      <c r="I266" s="26"/>
      <c r="J266" s="26"/>
      <c r="K266" s="26"/>
      <c r="L266" s="26"/>
    </row>
    <row r="267" spans="1:12" ht="50.25" x14ac:dyDescent="0.25">
      <c r="A267" s="12" t="s">
        <v>5</v>
      </c>
      <c r="B267" s="12" t="s">
        <v>6</v>
      </c>
      <c r="C267" s="12" t="s">
        <v>0</v>
      </c>
      <c r="D267" s="12" t="s">
        <v>139</v>
      </c>
      <c r="E267" s="189" t="s">
        <v>234</v>
      </c>
      <c r="F267" s="197" t="s">
        <v>310</v>
      </c>
      <c r="G267" s="198" t="s">
        <v>142</v>
      </c>
      <c r="H267" s="189" t="s">
        <v>301</v>
      </c>
      <c r="I267" s="189" t="s">
        <v>302</v>
      </c>
      <c r="J267" s="189" t="s">
        <v>303</v>
      </c>
      <c r="K267" s="189" t="s">
        <v>304</v>
      </c>
      <c r="L267" s="189" t="s">
        <v>305</v>
      </c>
    </row>
    <row r="268" spans="1:12" x14ac:dyDescent="0.25">
      <c r="A268" s="83" t="s">
        <v>428</v>
      </c>
      <c r="B268" s="201" t="s">
        <v>338</v>
      </c>
      <c r="C268" s="5" t="s">
        <v>339</v>
      </c>
      <c r="D268" s="83">
        <v>41</v>
      </c>
      <c r="E268" s="292">
        <v>3097183</v>
      </c>
      <c r="F268" s="292">
        <v>3097183</v>
      </c>
      <c r="G268" s="301" t="s">
        <v>140</v>
      </c>
      <c r="H268" s="292">
        <v>0</v>
      </c>
      <c r="I268" s="292">
        <v>201105</v>
      </c>
      <c r="J268" s="292">
        <v>200520</v>
      </c>
      <c r="K268" s="292">
        <v>585</v>
      </c>
      <c r="L268" s="292">
        <v>-585</v>
      </c>
    </row>
    <row r="269" spans="1:12" x14ac:dyDescent="0.25">
      <c r="A269" s="202" t="s">
        <v>429</v>
      </c>
      <c r="B269" s="87" t="s">
        <v>140</v>
      </c>
      <c r="C269" s="87" t="s">
        <v>140</v>
      </c>
      <c r="D269" s="87" t="s">
        <v>140</v>
      </c>
      <c r="E269" s="244">
        <f>SUBTOTAL(109,local199495[Program
Costs])</f>
        <v>3097183</v>
      </c>
      <c r="F269" s="244">
        <f>SUBTOTAL(109,local199495[Less: Net Payments and Offsets1])</f>
        <v>3097183</v>
      </c>
      <c r="G269" s="342" t="s">
        <v>140</v>
      </c>
      <c r="H269" s="244">
        <f>SUBTOTAL(109,local199495[Account
Payable 
Balance])</f>
        <v>0</v>
      </c>
      <c r="I269" s="244">
        <f>SUBTOTAL(109,local199495[Established
Account 
Receivable])</f>
        <v>201105</v>
      </c>
      <c r="J269" s="244">
        <f>SUBTOTAL(109,local199495[Less: 
Recovered Amount])</f>
        <v>200520</v>
      </c>
      <c r="K269" s="244">
        <f>SUBTOTAL(109,local199495[Account  Receivable
Balance])</f>
        <v>585</v>
      </c>
      <c r="L269" s="244">
        <f>SUBTOTAL(109,local199495[Net
Balance])</f>
        <v>-585</v>
      </c>
    </row>
    <row r="270" spans="1:12" x14ac:dyDescent="0.25">
      <c r="A270" s="195" t="s">
        <v>141</v>
      </c>
      <c r="B270" s="142"/>
      <c r="C270" s="142"/>
      <c r="D270" s="142"/>
      <c r="E270" s="26"/>
      <c r="F270" s="26"/>
      <c r="G270" s="196"/>
      <c r="H270" s="26"/>
      <c r="I270" s="26"/>
      <c r="J270" s="26"/>
      <c r="K270" s="26"/>
      <c r="L270" s="26"/>
    </row>
    <row r="271" spans="1:12" ht="50.25" x14ac:dyDescent="0.25">
      <c r="A271" s="12" t="s">
        <v>5</v>
      </c>
      <c r="B271" s="12" t="s">
        <v>6</v>
      </c>
      <c r="C271" s="12" t="s">
        <v>0</v>
      </c>
      <c r="D271" s="12" t="s">
        <v>139</v>
      </c>
      <c r="E271" s="189" t="s">
        <v>234</v>
      </c>
      <c r="F271" s="197" t="s">
        <v>310</v>
      </c>
      <c r="G271" s="198" t="s">
        <v>142</v>
      </c>
      <c r="H271" s="189" t="s">
        <v>301</v>
      </c>
      <c r="I271" s="189" t="s">
        <v>302</v>
      </c>
      <c r="J271" s="189" t="s">
        <v>303</v>
      </c>
      <c r="K271" s="189" t="s">
        <v>304</v>
      </c>
      <c r="L271" s="189" t="s">
        <v>305</v>
      </c>
    </row>
    <row r="272" spans="1:12" x14ac:dyDescent="0.25">
      <c r="A272" s="83" t="s">
        <v>430</v>
      </c>
      <c r="B272" s="201" t="s">
        <v>418</v>
      </c>
      <c r="C272" s="5" t="s">
        <v>327</v>
      </c>
      <c r="D272" s="83">
        <v>49</v>
      </c>
      <c r="E272" s="292">
        <v>4970992</v>
      </c>
      <c r="F272" s="292">
        <v>4970992</v>
      </c>
      <c r="G272" s="301" t="s">
        <v>140</v>
      </c>
      <c r="H272" s="292">
        <v>0</v>
      </c>
      <c r="I272" s="292">
        <v>713</v>
      </c>
      <c r="J272" s="292">
        <v>0</v>
      </c>
      <c r="K272" s="292">
        <v>713</v>
      </c>
      <c r="L272" s="292">
        <v>-713</v>
      </c>
    </row>
    <row r="273" spans="1:12" x14ac:dyDescent="0.25">
      <c r="A273" s="83" t="s">
        <v>430</v>
      </c>
      <c r="B273" s="201" t="s">
        <v>431</v>
      </c>
      <c r="C273" s="5" t="s">
        <v>432</v>
      </c>
      <c r="D273" s="83">
        <v>24</v>
      </c>
      <c r="E273" s="292">
        <v>722127</v>
      </c>
      <c r="F273" s="292">
        <v>722127</v>
      </c>
      <c r="G273" s="301" t="s">
        <v>140</v>
      </c>
      <c r="H273" s="292">
        <v>0</v>
      </c>
      <c r="I273" s="292">
        <v>2253</v>
      </c>
      <c r="J273" s="292">
        <v>0</v>
      </c>
      <c r="K273" s="292">
        <v>2253</v>
      </c>
      <c r="L273" s="292">
        <v>-2253</v>
      </c>
    </row>
    <row r="274" spans="1:12" x14ac:dyDescent="0.25">
      <c r="A274" s="202" t="s">
        <v>433</v>
      </c>
      <c r="B274" s="87" t="s">
        <v>140</v>
      </c>
      <c r="C274" s="87" t="s">
        <v>140</v>
      </c>
      <c r="D274" s="87" t="s">
        <v>140</v>
      </c>
      <c r="E274" s="244">
        <f>SUBTOTAL(109,local199293[Program
Costs])</f>
        <v>5693119</v>
      </c>
      <c r="F274" s="244">
        <f>SUBTOTAL(109,local199293[Less: Net Payments and Offsets1])</f>
        <v>5693119</v>
      </c>
      <c r="G274" s="342" t="s">
        <v>140</v>
      </c>
      <c r="H274" s="244">
        <f>SUBTOTAL(109,local199293[Account
Payable 
Balance])</f>
        <v>0</v>
      </c>
      <c r="I274" s="244">
        <f>SUBTOTAL(109,local199293[Established
Account 
Receivable])</f>
        <v>2966</v>
      </c>
      <c r="J274" s="244">
        <f>SUBTOTAL(109,local199293[Less: 
Recovered Amount])</f>
        <v>0</v>
      </c>
      <c r="K274" s="244">
        <f>SUBTOTAL(109,local199293[Account  Receivable
Balance])</f>
        <v>2966</v>
      </c>
      <c r="L274" s="244">
        <f>SUBTOTAL(109,local199293[Net
Balance])</f>
        <v>-2966</v>
      </c>
    </row>
    <row r="275" spans="1:12" x14ac:dyDescent="0.25">
      <c r="A275" s="195" t="s">
        <v>141</v>
      </c>
      <c r="B275" s="142"/>
      <c r="C275" s="142"/>
      <c r="D275" s="142"/>
      <c r="E275" s="26"/>
      <c r="F275" s="26"/>
      <c r="G275" s="196"/>
      <c r="H275" s="26"/>
      <c r="I275" s="26"/>
      <c r="J275" s="26"/>
      <c r="K275" s="26"/>
      <c r="L275" s="26"/>
    </row>
    <row r="276" spans="1:12" ht="50.25" x14ac:dyDescent="0.25">
      <c r="A276" s="12" t="s">
        <v>5</v>
      </c>
      <c r="B276" s="12" t="s">
        <v>6</v>
      </c>
      <c r="C276" s="12" t="s">
        <v>0</v>
      </c>
      <c r="D276" s="12" t="s">
        <v>139</v>
      </c>
      <c r="E276" s="189" t="s">
        <v>234</v>
      </c>
      <c r="F276" s="197" t="s">
        <v>310</v>
      </c>
      <c r="G276" s="198" t="s">
        <v>142</v>
      </c>
      <c r="H276" s="189" t="s">
        <v>301</v>
      </c>
      <c r="I276" s="189" t="s">
        <v>302</v>
      </c>
      <c r="J276" s="189" t="s">
        <v>303</v>
      </c>
      <c r="K276" s="189" t="s">
        <v>304</v>
      </c>
      <c r="L276" s="189" t="s">
        <v>305</v>
      </c>
    </row>
    <row r="277" spans="1:12" x14ac:dyDescent="0.25">
      <c r="A277" s="83" t="s">
        <v>434</v>
      </c>
      <c r="B277" s="201" t="s">
        <v>338</v>
      </c>
      <c r="C277" s="5" t="s">
        <v>339</v>
      </c>
      <c r="D277" s="83">
        <v>41</v>
      </c>
      <c r="E277" s="292">
        <v>2102143</v>
      </c>
      <c r="F277" s="292">
        <v>2102143</v>
      </c>
      <c r="G277" s="301" t="s">
        <v>140</v>
      </c>
      <c r="H277" s="292">
        <v>0</v>
      </c>
      <c r="I277" s="292">
        <v>153432</v>
      </c>
      <c r="J277" s="292">
        <v>114504</v>
      </c>
      <c r="K277" s="292">
        <v>38928</v>
      </c>
      <c r="L277" s="292">
        <v>-38928</v>
      </c>
    </row>
    <row r="278" spans="1:12" x14ac:dyDescent="0.25">
      <c r="A278" s="83" t="s">
        <v>434</v>
      </c>
      <c r="B278" s="201" t="s">
        <v>418</v>
      </c>
      <c r="C278" s="5" t="s">
        <v>327</v>
      </c>
      <c r="D278" s="83">
        <v>49</v>
      </c>
      <c r="E278" s="292">
        <v>5350067</v>
      </c>
      <c r="F278" s="292">
        <v>5350067</v>
      </c>
      <c r="G278" s="301" t="s">
        <v>140</v>
      </c>
      <c r="H278" s="292">
        <v>0</v>
      </c>
      <c r="I278" s="292">
        <v>48328</v>
      </c>
      <c r="J278" s="292">
        <v>47747</v>
      </c>
      <c r="K278" s="292">
        <v>581</v>
      </c>
      <c r="L278" s="292">
        <v>-581</v>
      </c>
    </row>
    <row r="279" spans="1:12" ht="30.75" x14ac:dyDescent="0.25">
      <c r="A279" s="83" t="s">
        <v>434</v>
      </c>
      <c r="B279" s="201" t="s">
        <v>435</v>
      </c>
      <c r="C279" s="5" t="s">
        <v>436</v>
      </c>
      <c r="D279" s="83">
        <v>64</v>
      </c>
      <c r="E279" s="292">
        <v>7349099</v>
      </c>
      <c r="F279" s="292">
        <v>7349099</v>
      </c>
      <c r="G279" s="301" t="s">
        <v>140</v>
      </c>
      <c r="H279" s="292">
        <v>0</v>
      </c>
      <c r="I279" s="292">
        <v>293279</v>
      </c>
      <c r="J279" s="292">
        <v>284557</v>
      </c>
      <c r="K279" s="292">
        <v>8722</v>
      </c>
      <c r="L279" s="292">
        <v>-8722</v>
      </c>
    </row>
    <row r="280" spans="1:12" x14ac:dyDescent="0.25">
      <c r="A280" s="202" t="s">
        <v>437</v>
      </c>
      <c r="B280" s="87" t="s">
        <v>140</v>
      </c>
      <c r="C280" s="87" t="s">
        <v>140</v>
      </c>
      <c r="D280" s="87" t="s">
        <v>140</v>
      </c>
      <c r="E280" s="244">
        <f>SUBTOTAL(109,local199192[Program
Costs])</f>
        <v>14801309</v>
      </c>
      <c r="F280" s="244">
        <f>SUBTOTAL(109,local199192[Less: Net Payments and Offsets1])</f>
        <v>14801309</v>
      </c>
      <c r="G280" s="342" t="s">
        <v>140</v>
      </c>
      <c r="H280" s="244">
        <f>SUBTOTAL(109,local199192[Account
Payable 
Balance])</f>
        <v>0</v>
      </c>
      <c r="I280" s="244">
        <f>SUBTOTAL(109,local199192[Established
Account 
Receivable])</f>
        <v>495039</v>
      </c>
      <c r="J280" s="244">
        <f>SUBTOTAL(109,local199192[Less: 
Recovered Amount])</f>
        <v>446808</v>
      </c>
      <c r="K280" s="244">
        <f>SUBTOTAL(109,local199192[Account  Receivable
Balance])</f>
        <v>48231</v>
      </c>
      <c r="L280" s="244">
        <f>SUBTOTAL(109,local199192[Net
Balance])</f>
        <v>-48231</v>
      </c>
    </row>
    <row r="281" spans="1:12" x14ac:dyDescent="0.25">
      <c r="A281" s="195" t="s">
        <v>141</v>
      </c>
      <c r="B281" s="142"/>
      <c r="C281" s="142"/>
      <c r="D281" s="142"/>
      <c r="E281" s="26"/>
      <c r="F281" s="26"/>
      <c r="G281" s="196"/>
      <c r="H281" s="26"/>
      <c r="I281" s="26"/>
      <c r="J281" s="26"/>
      <c r="K281" s="26"/>
      <c r="L281" s="26"/>
    </row>
    <row r="282" spans="1:12" ht="50.25" x14ac:dyDescent="0.25">
      <c r="A282" s="12" t="s">
        <v>5</v>
      </c>
      <c r="B282" s="12" t="s">
        <v>6</v>
      </c>
      <c r="C282" s="12" t="s">
        <v>0</v>
      </c>
      <c r="D282" s="12" t="s">
        <v>139</v>
      </c>
      <c r="E282" s="189" t="s">
        <v>234</v>
      </c>
      <c r="F282" s="197" t="s">
        <v>310</v>
      </c>
      <c r="G282" s="198" t="s">
        <v>142</v>
      </c>
      <c r="H282" s="189" t="s">
        <v>301</v>
      </c>
      <c r="I282" s="189" t="s">
        <v>302</v>
      </c>
      <c r="J282" s="189" t="s">
        <v>303</v>
      </c>
      <c r="K282" s="189" t="s">
        <v>304</v>
      </c>
      <c r="L282" s="189" t="s">
        <v>305</v>
      </c>
    </row>
    <row r="283" spans="1:12" x14ac:dyDescent="0.25">
      <c r="A283" s="203" t="s">
        <v>308</v>
      </c>
      <c r="B283" s="204" t="s">
        <v>140</v>
      </c>
      <c r="C283" s="204" t="s">
        <v>140</v>
      </c>
      <c r="D283" s="204" t="s">
        <v>140</v>
      </c>
      <c r="E283" s="274">
        <v>10250128</v>
      </c>
      <c r="F283" s="274">
        <v>1864308</v>
      </c>
      <c r="G283" s="343" t="s">
        <v>140</v>
      </c>
      <c r="H283" s="274">
        <v>8385820</v>
      </c>
      <c r="I283" s="274">
        <v>0</v>
      </c>
      <c r="J283" s="274">
        <v>0</v>
      </c>
      <c r="K283" s="274">
        <v>0</v>
      </c>
      <c r="L283" s="274">
        <v>8385820</v>
      </c>
    </row>
    <row r="284" spans="1:12" x14ac:dyDescent="0.25">
      <c r="A284" s="205" t="s">
        <v>309</v>
      </c>
      <c r="B284" s="174" t="s">
        <v>140</v>
      </c>
      <c r="C284" s="174" t="s">
        <v>140</v>
      </c>
      <c r="D284" s="174" t="s">
        <v>140</v>
      </c>
      <c r="E284" s="243">
        <v>66084474</v>
      </c>
      <c r="F284" s="243">
        <v>40992165</v>
      </c>
      <c r="G284" s="344" t="s">
        <v>140</v>
      </c>
      <c r="H284" s="243">
        <v>25092309</v>
      </c>
      <c r="I284" s="243">
        <v>1108682</v>
      </c>
      <c r="J284" s="243">
        <v>1677</v>
      </c>
      <c r="K284" s="243">
        <v>1107005</v>
      </c>
      <c r="L284" s="243">
        <v>23985304</v>
      </c>
    </row>
    <row r="285" spans="1:12" x14ac:dyDescent="0.25">
      <c r="A285" s="205" t="s">
        <v>311</v>
      </c>
      <c r="B285" s="174" t="s">
        <v>140</v>
      </c>
      <c r="C285" s="174" t="s">
        <v>140</v>
      </c>
      <c r="D285" s="174" t="s">
        <v>140</v>
      </c>
      <c r="E285" s="243">
        <v>25717902</v>
      </c>
      <c r="F285" s="243">
        <v>16211893</v>
      </c>
      <c r="G285" s="344" t="s">
        <v>140</v>
      </c>
      <c r="H285" s="243">
        <v>9506009</v>
      </c>
      <c r="I285" s="243">
        <v>4514717</v>
      </c>
      <c r="J285" s="243">
        <v>682595</v>
      </c>
      <c r="K285" s="243">
        <v>3832122</v>
      </c>
      <c r="L285" s="243">
        <v>5673887</v>
      </c>
    </row>
    <row r="286" spans="1:12" x14ac:dyDescent="0.25">
      <c r="A286" s="205" t="s">
        <v>312</v>
      </c>
      <c r="B286" s="174" t="s">
        <v>140</v>
      </c>
      <c r="C286" s="174" t="s">
        <v>140</v>
      </c>
      <c r="D286" s="174" t="s">
        <v>140</v>
      </c>
      <c r="E286" s="243">
        <v>17109191</v>
      </c>
      <c r="F286" s="243">
        <v>10384689</v>
      </c>
      <c r="G286" s="344" t="s">
        <v>140</v>
      </c>
      <c r="H286" s="243">
        <v>6724502</v>
      </c>
      <c r="I286" s="243">
        <v>4448724</v>
      </c>
      <c r="J286" s="243">
        <v>1332444</v>
      </c>
      <c r="K286" s="243">
        <v>3116280</v>
      </c>
      <c r="L286" s="243">
        <v>3608222</v>
      </c>
    </row>
    <row r="287" spans="1:12" x14ac:dyDescent="0.25">
      <c r="A287" s="205" t="s">
        <v>313</v>
      </c>
      <c r="B287" s="174" t="s">
        <v>140</v>
      </c>
      <c r="C287" s="174" t="s">
        <v>140</v>
      </c>
      <c r="D287" s="174" t="s">
        <v>140</v>
      </c>
      <c r="E287" s="259">
        <v>25099526</v>
      </c>
      <c r="F287" s="243">
        <v>18043313</v>
      </c>
      <c r="G287" s="344" t="s">
        <v>140</v>
      </c>
      <c r="H287" s="243">
        <v>7056213</v>
      </c>
      <c r="I287" s="243">
        <v>4029827</v>
      </c>
      <c r="J287" s="243">
        <v>1754216</v>
      </c>
      <c r="K287" s="243">
        <v>2275611</v>
      </c>
      <c r="L287" s="243">
        <v>4780602</v>
      </c>
    </row>
    <row r="288" spans="1:12" x14ac:dyDescent="0.25">
      <c r="A288" s="205" t="s">
        <v>314</v>
      </c>
      <c r="B288" s="174" t="s">
        <v>140</v>
      </c>
      <c r="C288" s="174" t="s">
        <v>140</v>
      </c>
      <c r="D288" s="174" t="s">
        <v>140</v>
      </c>
      <c r="E288" s="259">
        <v>8355329</v>
      </c>
      <c r="F288" s="243">
        <v>2188022</v>
      </c>
      <c r="G288" s="344" t="s">
        <v>140</v>
      </c>
      <c r="H288" s="243">
        <v>6167307</v>
      </c>
      <c r="I288" s="243">
        <v>1211</v>
      </c>
      <c r="J288" s="243">
        <v>711</v>
      </c>
      <c r="K288" s="243">
        <v>500</v>
      </c>
      <c r="L288" s="243">
        <v>6166807</v>
      </c>
    </row>
    <row r="289" spans="1:12" x14ac:dyDescent="0.25">
      <c r="A289" s="205" t="s">
        <v>316</v>
      </c>
      <c r="B289" s="174" t="s">
        <v>140</v>
      </c>
      <c r="C289" s="174" t="s">
        <v>140</v>
      </c>
      <c r="D289" s="174" t="s">
        <v>140</v>
      </c>
      <c r="E289" s="259">
        <v>7080395</v>
      </c>
      <c r="F289" s="243">
        <v>298477</v>
      </c>
      <c r="G289" s="344" t="s">
        <v>140</v>
      </c>
      <c r="H289" s="243">
        <v>6781918</v>
      </c>
      <c r="I289" s="243">
        <v>233747</v>
      </c>
      <c r="J289" s="243">
        <v>0</v>
      </c>
      <c r="K289" s="243">
        <v>233747</v>
      </c>
      <c r="L289" s="243">
        <v>6548171</v>
      </c>
    </row>
    <row r="290" spans="1:12" x14ac:dyDescent="0.25">
      <c r="A290" s="205" t="s">
        <v>318</v>
      </c>
      <c r="B290" s="174" t="s">
        <v>140</v>
      </c>
      <c r="C290" s="174" t="s">
        <v>140</v>
      </c>
      <c r="D290" s="174" t="s">
        <v>140</v>
      </c>
      <c r="E290" s="259">
        <v>6118565</v>
      </c>
      <c r="F290" s="243">
        <v>0</v>
      </c>
      <c r="G290" s="344" t="s">
        <v>140</v>
      </c>
      <c r="H290" s="243">
        <v>6118565</v>
      </c>
      <c r="I290" s="243">
        <v>0</v>
      </c>
      <c r="J290" s="243">
        <v>0</v>
      </c>
      <c r="K290" s="243">
        <v>0</v>
      </c>
      <c r="L290" s="243">
        <v>6118565</v>
      </c>
    </row>
    <row r="291" spans="1:12" x14ac:dyDescent="0.25">
      <c r="A291" s="205" t="s">
        <v>320</v>
      </c>
      <c r="B291" s="174" t="s">
        <v>140</v>
      </c>
      <c r="C291" s="174" t="s">
        <v>140</v>
      </c>
      <c r="D291" s="174" t="s">
        <v>140</v>
      </c>
      <c r="E291" s="259">
        <v>13840547</v>
      </c>
      <c r="F291" s="243">
        <v>7825991</v>
      </c>
      <c r="G291" s="344" t="s">
        <v>140</v>
      </c>
      <c r="H291" s="243">
        <v>6014556</v>
      </c>
      <c r="I291" s="243">
        <v>132637</v>
      </c>
      <c r="J291" s="243">
        <v>98973</v>
      </c>
      <c r="K291" s="243">
        <v>33664</v>
      </c>
      <c r="L291" s="243">
        <v>5980892</v>
      </c>
    </row>
    <row r="292" spans="1:12" x14ac:dyDescent="0.25">
      <c r="A292" s="205" t="s">
        <v>322</v>
      </c>
      <c r="B292" s="174" t="s">
        <v>140</v>
      </c>
      <c r="C292" s="174" t="s">
        <v>140</v>
      </c>
      <c r="D292" s="174" t="s">
        <v>140</v>
      </c>
      <c r="E292" s="259">
        <v>5461966</v>
      </c>
      <c r="F292" s="243">
        <v>0</v>
      </c>
      <c r="G292" s="344" t="s">
        <v>140</v>
      </c>
      <c r="H292" s="243">
        <v>5461966</v>
      </c>
      <c r="I292" s="243">
        <v>0</v>
      </c>
      <c r="J292" s="243">
        <v>0</v>
      </c>
      <c r="K292" s="243">
        <v>0</v>
      </c>
      <c r="L292" s="243">
        <v>5461966</v>
      </c>
    </row>
    <row r="293" spans="1:12" x14ac:dyDescent="0.25">
      <c r="A293" s="205" t="s">
        <v>328</v>
      </c>
      <c r="B293" s="174" t="s">
        <v>140</v>
      </c>
      <c r="C293" s="174" t="s">
        <v>140</v>
      </c>
      <c r="D293" s="174" t="s">
        <v>140</v>
      </c>
      <c r="E293" s="259">
        <v>20208292</v>
      </c>
      <c r="F293" s="243">
        <v>372223</v>
      </c>
      <c r="G293" s="344" t="s">
        <v>140</v>
      </c>
      <c r="H293" s="243">
        <v>19836069</v>
      </c>
      <c r="I293" s="243">
        <v>0</v>
      </c>
      <c r="J293" s="243">
        <v>0</v>
      </c>
      <c r="K293" s="243">
        <v>0</v>
      </c>
      <c r="L293" s="243">
        <v>19836069</v>
      </c>
    </row>
    <row r="294" spans="1:12" x14ac:dyDescent="0.25">
      <c r="A294" s="205" t="s">
        <v>342</v>
      </c>
      <c r="B294" s="174" t="s">
        <v>140</v>
      </c>
      <c r="C294" s="174" t="s">
        <v>140</v>
      </c>
      <c r="D294" s="174" t="s">
        <v>140</v>
      </c>
      <c r="E294" s="259">
        <v>50625702</v>
      </c>
      <c r="F294" s="243">
        <v>2438229</v>
      </c>
      <c r="G294" s="344" t="s">
        <v>140</v>
      </c>
      <c r="H294" s="243">
        <v>48187473</v>
      </c>
      <c r="I294" s="243">
        <v>11046</v>
      </c>
      <c r="J294" s="243">
        <v>0</v>
      </c>
      <c r="K294" s="243">
        <v>11046</v>
      </c>
      <c r="L294" s="243">
        <v>48176427</v>
      </c>
    </row>
    <row r="295" spans="1:12" x14ac:dyDescent="0.25">
      <c r="A295" s="205" t="s">
        <v>378</v>
      </c>
      <c r="B295" s="174" t="s">
        <v>140</v>
      </c>
      <c r="C295" s="174" t="s">
        <v>140</v>
      </c>
      <c r="D295" s="174" t="s">
        <v>140</v>
      </c>
      <c r="E295" s="259">
        <v>58809886</v>
      </c>
      <c r="F295" s="243">
        <v>2028106</v>
      </c>
      <c r="G295" s="344" t="s">
        <v>140</v>
      </c>
      <c r="H295" s="243">
        <v>56781780</v>
      </c>
      <c r="I295" s="243">
        <v>9444</v>
      </c>
      <c r="J295" s="243">
        <v>0</v>
      </c>
      <c r="K295" s="243">
        <v>9444</v>
      </c>
      <c r="L295" s="243">
        <v>56772336</v>
      </c>
    </row>
    <row r="296" spans="1:12" x14ac:dyDescent="0.25">
      <c r="A296" s="205" t="s">
        <v>390</v>
      </c>
      <c r="B296" s="174" t="s">
        <v>140</v>
      </c>
      <c r="C296" s="174" t="s">
        <v>140</v>
      </c>
      <c r="D296" s="174" t="s">
        <v>140</v>
      </c>
      <c r="E296" s="259">
        <v>54965074</v>
      </c>
      <c r="F296" s="243">
        <v>2092004</v>
      </c>
      <c r="G296" s="344" t="s">
        <v>140</v>
      </c>
      <c r="H296" s="243">
        <v>52873070</v>
      </c>
      <c r="I296" s="243">
        <v>7837</v>
      </c>
      <c r="J296" s="243">
        <v>0</v>
      </c>
      <c r="K296" s="243">
        <v>7837</v>
      </c>
      <c r="L296" s="243">
        <v>52865233</v>
      </c>
    </row>
    <row r="297" spans="1:12" x14ac:dyDescent="0.25">
      <c r="A297" s="205" t="s">
        <v>396</v>
      </c>
      <c r="B297" s="174" t="s">
        <v>140</v>
      </c>
      <c r="C297" s="174" t="s">
        <v>140</v>
      </c>
      <c r="D297" s="174" t="s">
        <v>140</v>
      </c>
      <c r="E297" s="259">
        <v>66596540</v>
      </c>
      <c r="F297" s="243">
        <v>2147640</v>
      </c>
      <c r="G297" s="344" t="s">
        <v>140</v>
      </c>
      <c r="H297" s="243">
        <v>64448900</v>
      </c>
      <c r="I297" s="243">
        <v>6821</v>
      </c>
      <c r="J297" s="243">
        <v>0</v>
      </c>
      <c r="K297" s="243">
        <v>6821</v>
      </c>
      <c r="L297" s="243">
        <v>64442079</v>
      </c>
    </row>
    <row r="298" spans="1:12" x14ac:dyDescent="0.25">
      <c r="A298" s="205" t="s">
        <v>398</v>
      </c>
      <c r="B298" s="174" t="s">
        <v>140</v>
      </c>
      <c r="C298" s="174" t="s">
        <v>140</v>
      </c>
      <c r="D298" s="174" t="s">
        <v>140</v>
      </c>
      <c r="E298" s="259">
        <v>59668491</v>
      </c>
      <c r="F298" s="243">
        <v>42743955</v>
      </c>
      <c r="G298" s="344" t="s">
        <v>140</v>
      </c>
      <c r="H298" s="243">
        <v>16924536</v>
      </c>
      <c r="I298" s="243">
        <v>19896474</v>
      </c>
      <c r="J298" s="243">
        <v>19083453</v>
      </c>
      <c r="K298" s="243">
        <v>813021</v>
      </c>
      <c r="L298" s="243">
        <v>16111515</v>
      </c>
    </row>
    <row r="299" spans="1:12" x14ac:dyDescent="0.25">
      <c r="A299" s="205" t="s">
        <v>400</v>
      </c>
      <c r="B299" s="174" t="s">
        <v>140</v>
      </c>
      <c r="C299" s="174" t="s">
        <v>140</v>
      </c>
      <c r="D299" s="174" t="s">
        <v>140</v>
      </c>
      <c r="E299" s="259">
        <v>46286554</v>
      </c>
      <c r="F299" s="243">
        <v>30799465</v>
      </c>
      <c r="G299" s="344" t="s">
        <v>140</v>
      </c>
      <c r="H299" s="243">
        <v>15487089</v>
      </c>
      <c r="I299" s="243">
        <v>11065965</v>
      </c>
      <c r="J299" s="243">
        <v>10517824</v>
      </c>
      <c r="K299" s="243">
        <v>548141</v>
      </c>
      <c r="L299" s="243">
        <v>14938948</v>
      </c>
    </row>
    <row r="300" spans="1:12" x14ac:dyDescent="0.25">
      <c r="A300" s="205" t="s">
        <v>402</v>
      </c>
      <c r="B300" s="174" t="s">
        <v>140</v>
      </c>
      <c r="C300" s="174" t="s">
        <v>140</v>
      </c>
      <c r="D300" s="174" t="s">
        <v>140</v>
      </c>
      <c r="E300" s="259">
        <v>66754926</v>
      </c>
      <c r="F300" s="243">
        <v>53146907</v>
      </c>
      <c r="G300" s="344" t="s">
        <v>140</v>
      </c>
      <c r="H300" s="243">
        <v>13608019</v>
      </c>
      <c r="I300" s="243">
        <v>7935267</v>
      </c>
      <c r="J300" s="243">
        <v>7848659</v>
      </c>
      <c r="K300" s="243">
        <v>86608</v>
      </c>
      <c r="L300" s="243">
        <v>13521411</v>
      </c>
    </row>
    <row r="301" spans="1:12" x14ac:dyDescent="0.25">
      <c r="A301" s="205" t="s">
        <v>404</v>
      </c>
      <c r="B301" s="174" t="s">
        <v>140</v>
      </c>
      <c r="C301" s="174" t="s">
        <v>140</v>
      </c>
      <c r="D301" s="174" t="s">
        <v>140</v>
      </c>
      <c r="E301" s="259">
        <v>1000193</v>
      </c>
      <c r="F301" s="243">
        <v>955226</v>
      </c>
      <c r="G301" s="344" t="s">
        <v>140</v>
      </c>
      <c r="H301" s="243">
        <v>44967</v>
      </c>
      <c r="I301" s="243">
        <v>0</v>
      </c>
      <c r="J301" s="243">
        <v>0</v>
      </c>
      <c r="K301" s="243">
        <v>0</v>
      </c>
      <c r="L301" s="243">
        <v>44967</v>
      </c>
    </row>
    <row r="302" spans="1:12" x14ac:dyDescent="0.25">
      <c r="A302" s="205" t="s">
        <v>406</v>
      </c>
      <c r="B302" s="174" t="s">
        <v>140</v>
      </c>
      <c r="C302" s="174" t="s">
        <v>140</v>
      </c>
      <c r="D302" s="174" t="s">
        <v>140</v>
      </c>
      <c r="E302" s="259">
        <v>1069388</v>
      </c>
      <c r="F302" s="243">
        <v>905188</v>
      </c>
      <c r="G302" s="344" t="s">
        <v>140</v>
      </c>
      <c r="H302" s="243">
        <v>164200</v>
      </c>
      <c r="I302" s="243">
        <v>0</v>
      </c>
      <c r="J302" s="243">
        <v>0</v>
      </c>
      <c r="K302" s="243">
        <v>0</v>
      </c>
      <c r="L302" s="243">
        <v>164200</v>
      </c>
    </row>
    <row r="303" spans="1:12" x14ac:dyDescent="0.25">
      <c r="A303" s="205" t="s">
        <v>410</v>
      </c>
      <c r="B303" s="174" t="s">
        <v>140</v>
      </c>
      <c r="C303" s="174" t="s">
        <v>140</v>
      </c>
      <c r="D303" s="174" t="s">
        <v>140</v>
      </c>
      <c r="E303" s="259">
        <v>20851478</v>
      </c>
      <c r="F303" s="243">
        <v>20723544</v>
      </c>
      <c r="G303" s="344" t="s">
        <v>140</v>
      </c>
      <c r="H303" s="243">
        <v>127934</v>
      </c>
      <c r="I303" s="243">
        <v>239828</v>
      </c>
      <c r="J303" s="243">
        <v>230494</v>
      </c>
      <c r="K303" s="243">
        <v>9334</v>
      </c>
      <c r="L303" s="243">
        <v>118600</v>
      </c>
    </row>
    <row r="304" spans="1:12" x14ac:dyDescent="0.25">
      <c r="A304" s="205" t="s">
        <v>412</v>
      </c>
      <c r="B304" s="174" t="s">
        <v>140</v>
      </c>
      <c r="C304" s="174" t="s">
        <v>140</v>
      </c>
      <c r="D304" s="174" t="s">
        <v>140</v>
      </c>
      <c r="E304" s="259">
        <v>112301</v>
      </c>
      <c r="F304" s="243">
        <v>0</v>
      </c>
      <c r="G304" s="344" t="s">
        <v>140</v>
      </c>
      <c r="H304" s="243">
        <v>112301</v>
      </c>
      <c r="I304" s="243">
        <v>0</v>
      </c>
      <c r="J304" s="243">
        <v>0</v>
      </c>
      <c r="K304" s="243">
        <v>0</v>
      </c>
      <c r="L304" s="243">
        <v>112301</v>
      </c>
    </row>
    <row r="305" spans="1:12" x14ac:dyDescent="0.25">
      <c r="A305" s="205" t="s">
        <v>416</v>
      </c>
      <c r="B305" s="174" t="s">
        <v>140</v>
      </c>
      <c r="C305" s="174" t="s">
        <v>140</v>
      </c>
      <c r="D305" s="174" t="s">
        <v>140</v>
      </c>
      <c r="E305" s="259">
        <v>14643173</v>
      </c>
      <c r="F305" s="243">
        <v>14609736</v>
      </c>
      <c r="G305" s="344" t="s">
        <v>140</v>
      </c>
      <c r="H305" s="243">
        <v>33437</v>
      </c>
      <c r="I305" s="243">
        <v>4962586</v>
      </c>
      <c r="J305" s="243">
        <v>4875829</v>
      </c>
      <c r="K305" s="243">
        <v>86757</v>
      </c>
      <c r="L305" s="243">
        <v>-53320</v>
      </c>
    </row>
    <row r="306" spans="1:12" x14ac:dyDescent="0.25">
      <c r="A306" s="205" t="s">
        <v>421</v>
      </c>
      <c r="B306" s="174" t="s">
        <v>140</v>
      </c>
      <c r="C306" s="174" t="s">
        <v>140</v>
      </c>
      <c r="D306" s="174" t="s">
        <v>140</v>
      </c>
      <c r="E306" s="259">
        <v>9294252</v>
      </c>
      <c r="F306" s="243">
        <v>9253867</v>
      </c>
      <c r="G306" s="344" t="s">
        <v>140</v>
      </c>
      <c r="H306" s="243">
        <v>40385</v>
      </c>
      <c r="I306" s="243">
        <v>2597904</v>
      </c>
      <c r="J306" s="243">
        <v>2431476</v>
      </c>
      <c r="K306" s="243">
        <v>166428</v>
      </c>
      <c r="L306" s="243">
        <v>-126043</v>
      </c>
    </row>
    <row r="307" spans="1:12" x14ac:dyDescent="0.25">
      <c r="A307" s="205" t="s">
        <v>423</v>
      </c>
      <c r="B307" s="174" t="s">
        <v>140</v>
      </c>
      <c r="C307" s="174" t="s">
        <v>140</v>
      </c>
      <c r="D307" s="174" t="s">
        <v>140</v>
      </c>
      <c r="E307" s="259">
        <v>8548806</v>
      </c>
      <c r="F307" s="243">
        <v>8548806</v>
      </c>
      <c r="G307" s="344" t="s">
        <v>140</v>
      </c>
      <c r="H307" s="243">
        <v>0</v>
      </c>
      <c r="I307" s="243">
        <v>414227</v>
      </c>
      <c r="J307" s="243">
        <v>412381</v>
      </c>
      <c r="K307" s="243">
        <v>1846</v>
      </c>
      <c r="L307" s="243">
        <v>-1846</v>
      </c>
    </row>
    <row r="308" spans="1:12" x14ac:dyDescent="0.25">
      <c r="A308" s="205" t="s">
        <v>425</v>
      </c>
      <c r="B308" s="174" t="s">
        <v>140</v>
      </c>
      <c r="C308" s="174" t="s">
        <v>140</v>
      </c>
      <c r="D308" s="174" t="s">
        <v>140</v>
      </c>
      <c r="E308" s="259">
        <v>3560480</v>
      </c>
      <c r="F308" s="243">
        <v>3560480</v>
      </c>
      <c r="G308" s="344" t="s">
        <v>140</v>
      </c>
      <c r="H308" s="243">
        <v>0</v>
      </c>
      <c r="I308" s="243">
        <v>319940</v>
      </c>
      <c r="J308" s="243">
        <v>319763</v>
      </c>
      <c r="K308" s="243">
        <v>177</v>
      </c>
      <c r="L308" s="243">
        <v>-177</v>
      </c>
    </row>
    <row r="309" spans="1:12" x14ac:dyDescent="0.25">
      <c r="A309" s="205" t="s">
        <v>427</v>
      </c>
      <c r="B309" s="174" t="s">
        <v>140</v>
      </c>
      <c r="C309" s="174" t="s">
        <v>140</v>
      </c>
      <c r="D309" s="174" t="s">
        <v>140</v>
      </c>
      <c r="E309" s="259">
        <v>6658366</v>
      </c>
      <c r="F309" s="243">
        <v>6658366</v>
      </c>
      <c r="G309" s="344" t="s">
        <v>140</v>
      </c>
      <c r="H309" s="243">
        <v>0</v>
      </c>
      <c r="I309" s="243">
        <v>1531822</v>
      </c>
      <c r="J309" s="243">
        <v>1525780</v>
      </c>
      <c r="K309" s="243">
        <v>6042</v>
      </c>
      <c r="L309" s="243">
        <v>-6042</v>
      </c>
    </row>
    <row r="310" spans="1:12" x14ac:dyDescent="0.25">
      <c r="A310" s="205" t="s">
        <v>429</v>
      </c>
      <c r="B310" s="174" t="s">
        <v>140</v>
      </c>
      <c r="C310" s="174" t="s">
        <v>140</v>
      </c>
      <c r="D310" s="174" t="s">
        <v>140</v>
      </c>
      <c r="E310" s="259">
        <v>3097183</v>
      </c>
      <c r="F310" s="243">
        <v>3097183</v>
      </c>
      <c r="G310" s="344" t="s">
        <v>140</v>
      </c>
      <c r="H310" s="243">
        <v>0</v>
      </c>
      <c r="I310" s="243">
        <v>201105</v>
      </c>
      <c r="J310" s="243">
        <v>200520</v>
      </c>
      <c r="K310" s="243">
        <v>585</v>
      </c>
      <c r="L310" s="243">
        <v>-585</v>
      </c>
    </row>
    <row r="311" spans="1:12" x14ac:dyDescent="0.25">
      <c r="A311" s="205" t="s">
        <v>433</v>
      </c>
      <c r="B311" s="174" t="s">
        <v>140</v>
      </c>
      <c r="C311" s="174" t="s">
        <v>140</v>
      </c>
      <c r="D311" s="174" t="s">
        <v>140</v>
      </c>
      <c r="E311" s="259">
        <v>5693119</v>
      </c>
      <c r="F311" s="243">
        <v>5693119</v>
      </c>
      <c r="G311" s="344" t="s">
        <v>140</v>
      </c>
      <c r="H311" s="243">
        <v>0</v>
      </c>
      <c r="I311" s="243">
        <v>2966</v>
      </c>
      <c r="J311" s="243">
        <v>0</v>
      </c>
      <c r="K311" s="243">
        <v>2966</v>
      </c>
      <c r="L311" s="243">
        <v>-2966</v>
      </c>
    </row>
    <row r="312" spans="1:12" x14ac:dyDescent="0.25">
      <c r="A312" s="205" t="s">
        <v>437</v>
      </c>
      <c r="B312" s="174" t="s">
        <v>140</v>
      </c>
      <c r="C312" s="174" t="s">
        <v>140</v>
      </c>
      <c r="D312" s="174" t="s">
        <v>140</v>
      </c>
      <c r="E312" s="259">
        <v>14801309</v>
      </c>
      <c r="F312" s="243">
        <v>14801309</v>
      </c>
      <c r="G312" s="344" t="s">
        <v>140</v>
      </c>
      <c r="H312" s="243">
        <v>0</v>
      </c>
      <c r="I312" s="243">
        <v>495039</v>
      </c>
      <c r="J312" s="243">
        <v>446808</v>
      </c>
      <c r="K312" s="243">
        <v>48231</v>
      </c>
      <c r="L312" s="243">
        <v>-48231</v>
      </c>
    </row>
    <row r="313" spans="1:12" x14ac:dyDescent="0.25">
      <c r="A313" s="202" t="s">
        <v>250</v>
      </c>
      <c r="B313" s="87" t="s">
        <v>140</v>
      </c>
      <c r="C313" s="87" t="s">
        <v>140</v>
      </c>
      <c r="D313" s="87" t="s">
        <v>140</v>
      </c>
      <c r="E313" s="244">
        <f>SUBTOTAL(109,localgrandtotal[Program
Costs])</f>
        <v>698363536</v>
      </c>
      <c r="F313" s="244">
        <f>SUBTOTAL(109,localgrandtotal[Less: Net Payments and Offsets1])</f>
        <v>322384211</v>
      </c>
      <c r="G313" s="342" t="s">
        <v>140</v>
      </c>
      <c r="H313" s="244">
        <f>SUBTOTAL(109,localgrandtotal[Account
Payable 
Balance])</f>
        <v>375979325</v>
      </c>
      <c r="I313" s="244">
        <f>SUBTOTAL(109,localgrandtotal[Established
Account 
Receivable])</f>
        <v>64167816</v>
      </c>
      <c r="J313" s="244">
        <f>SUBTOTAL(109,localgrandtotal[Less: 
Recovered Amount])</f>
        <v>51763603</v>
      </c>
      <c r="K313" s="244">
        <f>SUBTOTAL(109,localgrandtotal[Account  Receivable
Balance])</f>
        <v>12404213</v>
      </c>
      <c r="L313" s="244">
        <f>SUBTOTAL(109,localgrandtotal[Net
Balance])</f>
        <v>363575112</v>
      </c>
    </row>
    <row r="314" spans="1:12" x14ac:dyDescent="0.25">
      <c r="A314" s="5" t="s">
        <v>438</v>
      </c>
    </row>
    <row r="315" spans="1:12" ht="18.75" x14ac:dyDescent="0.25">
      <c r="A315" s="5" t="s">
        <v>439</v>
      </c>
    </row>
  </sheetData>
  <hyperlinks>
    <hyperlink ref="F2" location="'Schedule B1-Local Agencies'!A991" display="Less: Net Payments and Offsets1"/>
  </hyperlinks>
  <printOptions horizontalCentered="1" gridLines="1"/>
  <pageMargins left="0.3" right="0.3" top="0.75" bottom="0.75" header="0.3" footer="0.3"/>
  <pageSetup scale="62" fitToHeight="0" orientation="landscape" r:id="rId1"/>
  <headerFooter>
    <oddFooter>&amp;LSchedule B1: Detail of Funded State-Mandated Programs by Fiscal Year
Local Agencies&amp;RPage &amp;P of &amp;N</oddFooter>
  </headerFooter>
  <rowBreaks count="2" manualBreakCount="2">
    <brk id="94" max="11" man="1"/>
    <brk id="249" max="11" man="1"/>
  </rowBreaks>
  <legacyDrawing r:id="rId2"/>
  <tableParts count="31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992"/>
  <sheetViews>
    <sheetView topLeftCell="A967" zoomScaleNormal="100" workbookViewId="0">
      <selection activeCell="A990" sqref="A990"/>
    </sheetView>
  </sheetViews>
  <sheetFormatPr defaultColWidth="9.140625" defaultRowHeight="15.75" x14ac:dyDescent="0.25"/>
  <cols>
    <col min="1" max="1" width="23.85546875" style="208" customWidth="1"/>
    <col min="2" max="2" width="47" style="222" customWidth="1"/>
    <col min="3" max="3" width="14.42578125" style="223" customWidth="1"/>
    <col min="4" max="4" width="14.5703125" style="208" customWidth="1"/>
    <col min="5" max="5" width="19.28515625" style="209" customWidth="1"/>
    <col min="6" max="6" width="18.7109375" style="210" customWidth="1"/>
    <col min="7" max="7" width="2.5703125" style="210" customWidth="1"/>
    <col min="8" max="12" width="17.5703125" style="209" customWidth="1"/>
    <col min="13" max="16384" width="9.140625" style="151"/>
  </cols>
  <sheetData>
    <row r="1" spans="1:12" ht="54" x14ac:dyDescent="0.25">
      <c r="A1" s="7" t="s">
        <v>440</v>
      </c>
      <c r="B1" s="8"/>
      <c r="C1" s="9"/>
      <c r="D1" s="8"/>
      <c r="E1" s="211"/>
      <c r="F1" s="211"/>
      <c r="G1" s="212"/>
      <c r="H1" s="211"/>
      <c r="I1" s="211"/>
      <c r="J1" s="211"/>
      <c r="K1" s="211"/>
      <c r="L1" s="211"/>
    </row>
    <row r="2" spans="1:12" ht="50.1" customHeight="1" x14ac:dyDescent="0.25">
      <c r="A2" s="12" t="s">
        <v>5</v>
      </c>
      <c r="B2" s="12" t="s">
        <v>6</v>
      </c>
      <c r="C2" s="12" t="s">
        <v>0</v>
      </c>
      <c r="D2" s="12" t="s">
        <v>441</v>
      </c>
      <c r="E2" s="189" t="s">
        <v>234</v>
      </c>
      <c r="F2" s="299" t="s">
        <v>452</v>
      </c>
      <c r="G2" s="198" t="s">
        <v>443</v>
      </c>
      <c r="H2" s="189" t="s">
        <v>444</v>
      </c>
      <c r="I2" s="189" t="s">
        <v>445</v>
      </c>
      <c r="J2" s="189" t="s">
        <v>446</v>
      </c>
      <c r="K2" s="189" t="s">
        <v>447</v>
      </c>
      <c r="L2" s="189" t="s">
        <v>305</v>
      </c>
    </row>
    <row r="3" spans="1:12" ht="30.75" x14ac:dyDescent="0.25">
      <c r="A3" s="83" t="s">
        <v>217</v>
      </c>
      <c r="B3" s="213" t="s">
        <v>66</v>
      </c>
      <c r="C3" s="213" t="s">
        <v>7</v>
      </c>
      <c r="D3" s="83">
        <v>250</v>
      </c>
      <c r="E3" s="280">
        <v>6120</v>
      </c>
      <c r="F3" s="280">
        <v>1000</v>
      </c>
      <c r="G3" s="191" t="s">
        <v>140</v>
      </c>
      <c r="H3" s="292">
        <v>5120</v>
      </c>
      <c r="I3" s="292">
        <v>0</v>
      </c>
      <c r="J3" s="292">
        <v>0</v>
      </c>
      <c r="K3" s="292">
        <v>0</v>
      </c>
      <c r="L3" s="292">
        <v>5120</v>
      </c>
    </row>
    <row r="4" spans="1:12" ht="30.75" x14ac:dyDescent="0.25">
      <c r="A4" s="83" t="s">
        <v>217</v>
      </c>
      <c r="B4" s="213" t="s">
        <v>68</v>
      </c>
      <c r="C4" s="213" t="s">
        <v>9</v>
      </c>
      <c r="D4" s="83">
        <v>369</v>
      </c>
      <c r="E4" s="280">
        <v>2472</v>
      </c>
      <c r="F4" s="280">
        <v>1000</v>
      </c>
      <c r="G4" s="191" t="s">
        <v>140</v>
      </c>
      <c r="H4" s="294">
        <v>1472</v>
      </c>
      <c r="I4" s="294">
        <v>0</v>
      </c>
      <c r="J4" s="294">
        <v>0</v>
      </c>
      <c r="K4" s="294">
        <v>0</v>
      </c>
      <c r="L4" s="294">
        <v>1472</v>
      </c>
    </row>
    <row r="5" spans="1:12" ht="30.75" x14ac:dyDescent="0.25">
      <c r="A5" s="83" t="s">
        <v>217</v>
      </c>
      <c r="B5" s="213" t="s">
        <v>69</v>
      </c>
      <c r="C5" s="213" t="s">
        <v>10</v>
      </c>
      <c r="D5" s="83">
        <v>172</v>
      </c>
      <c r="E5" s="280">
        <v>2602</v>
      </c>
      <c r="F5" s="280">
        <v>1000</v>
      </c>
      <c r="G5" s="191" t="s">
        <v>140</v>
      </c>
      <c r="H5" s="294">
        <v>1602</v>
      </c>
      <c r="I5" s="294">
        <v>0</v>
      </c>
      <c r="J5" s="294">
        <v>0</v>
      </c>
      <c r="K5" s="294">
        <v>0</v>
      </c>
      <c r="L5" s="294">
        <v>1602</v>
      </c>
    </row>
    <row r="6" spans="1:12" ht="30.75" x14ac:dyDescent="0.25">
      <c r="A6" s="83" t="s">
        <v>217</v>
      </c>
      <c r="B6" s="213" t="s">
        <v>72</v>
      </c>
      <c r="C6" s="213" t="s">
        <v>13</v>
      </c>
      <c r="D6" s="83">
        <v>11</v>
      </c>
      <c r="E6" s="280">
        <v>36820</v>
      </c>
      <c r="F6" s="280">
        <v>1000</v>
      </c>
      <c r="G6" s="191" t="s">
        <v>140</v>
      </c>
      <c r="H6" s="294">
        <v>35820</v>
      </c>
      <c r="I6" s="294">
        <v>0</v>
      </c>
      <c r="J6" s="294">
        <v>0</v>
      </c>
      <c r="K6" s="294">
        <v>0</v>
      </c>
      <c r="L6" s="294">
        <v>35820</v>
      </c>
    </row>
    <row r="7" spans="1:12" x14ac:dyDescent="0.25">
      <c r="A7" s="83" t="s">
        <v>217</v>
      </c>
      <c r="B7" s="213" t="s">
        <v>73</v>
      </c>
      <c r="C7" s="213" t="s">
        <v>14</v>
      </c>
      <c r="D7" s="83">
        <v>313</v>
      </c>
      <c r="E7" s="280">
        <v>7145</v>
      </c>
      <c r="F7" s="280">
        <v>1000</v>
      </c>
      <c r="G7" s="191" t="s">
        <v>140</v>
      </c>
      <c r="H7" s="292">
        <v>6145</v>
      </c>
      <c r="I7" s="292">
        <v>0</v>
      </c>
      <c r="J7" s="292">
        <v>0</v>
      </c>
      <c r="K7" s="292">
        <v>0</v>
      </c>
      <c r="L7" s="292">
        <v>6145</v>
      </c>
    </row>
    <row r="8" spans="1:12" ht="30.75" x14ac:dyDescent="0.25">
      <c r="A8" s="83" t="s">
        <v>217</v>
      </c>
      <c r="B8" s="213" t="s">
        <v>70</v>
      </c>
      <c r="C8" s="213" t="s">
        <v>11</v>
      </c>
      <c r="D8" s="83">
        <v>330</v>
      </c>
      <c r="E8" s="280">
        <v>5781</v>
      </c>
      <c r="F8" s="280">
        <v>1000</v>
      </c>
      <c r="G8" s="191" t="s">
        <v>140</v>
      </c>
      <c r="H8" s="292">
        <v>4781</v>
      </c>
      <c r="I8" s="292">
        <v>0</v>
      </c>
      <c r="J8" s="292">
        <v>0</v>
      </c>
      <c r="K8" s="292">
        <v>0</v>
      </c>
      <c r="L8" s="292">
        <v>4781</v>
      </c>
    </row>
    <row r="9" spans="1:12" ht="30.75" customHeight="1" x14ac:dyDescent="0.25">
      <c r="A9" s="83" t="s">
        <v>217</v>
      </c>
      <c r="B9" s="213" t="s">
        <v>67</v>
      </c>
      <c r="C9" s="213" t="s">
        <v>8</v>
      </c>
      <c r="D9" s="83">
        <v>272</v>
      </c>
      <c r="E9" s="280">
        <v>12692</v>
      </c>
      <c r="F9" s="280">
        <v>1000</v>
      </c>
      <c r="G9" s="191" t="s">
        <v>140</v>
      </c>
      <c r="H9" s="292">
        <v>11692</v>
      </c>
      <c r="I9" s="292">
        <v>0</v>
      </c>
      <c r="J9" s="292">
        <v>0</v>
      </c>
      <c r="K9" s="292">
        <v>0</v>
      </c>
      <c r="L9" s="292">
        <v>11692</v>
      </c>
    </row>
    <row r="10" spans="1:12" ht="15.75" customHeight="1" x14ac:dyDescent="0.25">
      <c r="A10" s="83" t="s">
        <v>217</v>
      </c>
      <c r="B10" s="213" t="s">
        <v>82</v>
      </c>
      <c r="C10" s="213" t="s">
        <v>23</v>
      </c>
      <c r="D10" s="83">
        <v>276</v>
      </c>
      <c r="E10" s="280">
        <v>1122</v>
      </c>
      <c r="F10" s="280">
        <v>1000</v>
      </c>
      <c r="G10" s="191" t="s">
        <v>140</v>
      </c>
      <c r="H10" s="292">
        <v>122</v>
      </c>
      <c r="I10" s="292">
        <v>0</v>
      </c>
      <c r="J10" s="292">
        <v>0</v>
      </c>
      <c r="K10" s="292">
        <v>0</v>
      </c>
      <c r="L10" s="292">
        <v>122</v>
      </c>
    </row>
    <row r="11" spans="1:12" ht="75.75" x14ac:dyDescent="0.25">
      <c r="A11" s="83" t="s">
        <v>217</v>
      </c>
      <c r="B11" s="213" t="s">
        <v>448</v>
      </c>
      <c r="C11" s="213" t="s">
        <v>449</v>
      </c>
      <c r="D11" s="83">
        <v>292</v>
      </c>
      <c r="E11" s="280">
        <v>8166</v>
      </c>
      <c r="F11" s="280">
        <v>0</v>
      </c>
      <c r="G11" s="191" t="s">
        <v>140</v>
      </c>
      <c r="H11" s="292">
        <v>8166</v>
      </c>
      <c r="I11" s="292">
        <v>0</v>
      </c>
      <c r="J11" s="292">
        <v>0</v>
      </c>
      <c r="K11" s="292">
        <v>0</v>
      </c>
      <c r="L11" s="292">
        <v>8166</v>
      </c>
    </row>
    <row r="12" spans="1:12" ht="30.75" x14ac:dyDescent="0.25">
      <c r="A12" s="83" t="s">
        <v>217</v>
      </c>
      <c r="B12" s="213" t="s">
        <v>71</v>
      </c>
      <c r="C12" s="213" t="s">
        <v>12</v>
      </c>
      <c r="D12" s="83">
        <v>209</v>
      </c>
      <c r="E12" s="280">
        <v>22232</v>
      </c>
      <c r="F12" s="280">
        <v>1000</v>
      </c>
      <c r="G12" s="191" t="s">
        <v>140</v>
      </c>
      <c r="H12" s="292">
        <v>21232</v>
      </c>
      <c r="I12" s="292">
        <v>0</v>
      </c>
      <c r="J12" s="292">
        <v>0</v>
      </c>
      <c r="K12" s="292">
        <v>0</v>
      </c>
      <c r="L12" s="292">
        <v>21232</v>
      </c>
    </row>
    <row r="13" spans="1:12" x14ac:dyDescent="0.25">
      <c r="A13" s="83" t="s">
        <v>217</v>
      </c>
      <c r="B13" s="213" t="s">
        <v>74</v>
      </c>
      <c r="C13" s="213" t="s">
        <v>15</v>
      </c>
      <c r="D13" s="83">
        <v>183</v>
      </c>
      <c r="E13" s="280">
        <v>1471</v>
      </c>
      <c r="F13" s="280">
        <v>1000</v>
      </c>
      <c r="G13" s="191" t="s">
        <v>140</v>
      </c>
      <c r="H13" s="292">
        <v>471</v>
      </c>
      <c r="I13" s="292">
        <v>0</v>
      </c>
      <c r="J13" s="292">
        <v>0</v>
      </c>
      <c r="K13" s="292">
        <v>0</v>
      </c>
      <c r="L13" s="292">
        <v>471</v>
      </c>
    </row>
    <row r="14" spans="1:12" x14ac:dyDescent="0.25">
      <c r="A14" s="83" t="s">
        <v>217</v>
      </c>
      <c r="B14" s="213" t="s">
        <v>75</v>
      </c>
      <c r="C14" s="213" t="s">
        <v>16</v>
      </c>
      <c r="D14" s="83">
        <v>192</v>
      </c>
      <c r="E14" s="280">
        <v>1429</v>
      </c>
      <c r="F14" s="280">
        <v>1000</v>
      </c>
      <c r="G14" s="191" t="s">
        <v>140</v>
      </c>
      <c r="H14" s="292">
        <v>429</v>
      </c>
      <c r="I14" s="292">
        <v>0</v>
      </c>
      <c r="J14" s="292">
        <v>0</v>
      </c>
      <c r="K14" s="292">
        <v>0</v>
      </c>
      <c r="L14" s="292">
        <v>429</v>
      </c>
    </row>
    <row r="15" spans="1:12" ht="30.75" x14ac:dyDescent="0.25">
      <c r="A15" s="83" t="s">
        <v>217</v>
      </c>
      <c r="B15" s="213" t="s">
        <v>76</v>
      </c>
      <c r="C15" s="213" t="s">
        <v>17</v>
      </c>
      <c r="D15" s="83">
        <v>297</v>
      </c>
      <c r="E15" s="280">
        <v>15484</v>
      </c>
      <c r="F15" s="280">
        <v>1000</v>
      </c>
      <c r="G15" s="191" t="s">
        <v>140</v>
      </c>
      <c r="H15" s="292">
        <v>14484</v>
      </c>
      <c r="I15" s="292">
        <v>0</v>
      </c>
      <c r="J15" s="292">
        <v>0</v>
      </c>
      <c r="K15" s="292">
        <v>0</v>
      </c>
      <c r="L15" s="292">
        <v>14484</v>
      </c>
    </row>
    <row r="16" spans="1:12" x14ac:dyDescent="0.25">
      <c r="A16" s="83" t="s">
        <v>217</v>
      </c>
      <c r="B16" s="213" t="s">
        <v>77</v>
      </c>
      <c r="C16" s="213" t="s">
        <v>18</v>
      </c>
      <c r="D16" s="83">
        <v>166</v>
      </c>
      <c r="E16" s="280">
        <v>48265</v>
      </c>
      <c r="F16" s="280">
        <v>1000</v>
      </c>
      <c r="G16" s="191" t="s">
        <v>140</v>
      </c>
      <c r="H16" s="292">
        <v>47265</v>
      </c>
      <c r="I16" s="292">
        <v>0</v>
      </c>
      <c r="J16" s="292">
        <v>0</v>
      </c>
      <c r="K16" s="292">
        <v>0</v>
      </c>
      <c r="L16" s="292">
        <v>47265</v>
      </c>
    </row>
    <row r="17" spans="1:12" x14ac:dyDescent="0.25">
      <c r="A17" s="83" t="s">
        <v>217</v>
      </c>
      <c r="B17" s="213" t="s">
        <v>80</v>
      </c>
      <c r="C17" s="213" t="s">
        <v>21</v>
      </c>
      <c r="D17" s="83">
        <v>32</v>
      </c>
      <c r="E17" s="280">
        <v>6879</v>
      </c>
      <c r="F17" s="280">
        <v>1000</v>
      </c>
      <c r="G17" s="191" t="s">
        <v>140</v>
      </c>
      <c r="H17" s="292">
        <v>5879</v>
      </c>
      <c r="I17" s="292">
        <v>0</v>
      </c>
      <c r="J17" s="292">
        <v>0</v>
      </c>
      <c r="K17" s="292">
        <v>0</v>
      </c>
      <c r="L17" s="292">
        <v>5879</v>
      </c>
    </row>
    <row r="18" spans="1:12" ht="30.75" x14ac:dyDescent="0.25">
      <c r="A18" s="83" t="s">
        <v>217</v>
      </c>
      <c r="B18" s="213" t="s">
        <v>78</v>
      </c>
      <c r="C18" s="213" t="s">
        <v>19</v>
      </c>
      <c r="D18" s="83">
        <v>368</v>
      </c>
      <c r="E18" s="280">
        <v>2243</v>
      </c>
      <c r="F18" s="280">
        <v>1000</v>
      </c>
      <c r="G18" s="191" t="s">
        <v>140</v>
      </c>
      <c r="H18" s="292">
        <v>1243</v>
      </c>
      <c r="I18" s="292">
        <v>0</v>
      </c>
      <c r="J18" s="292">
        <v>0</v>
      </c>
      <c r="K18" s="292">
        <v>0</v>
      </c>
      <c r="L18" s="292">
        <v>1243</v>
      </c>
    </row>
    <row r="19" spans="1:12" x14ac:dyDescent="0.25">
      <c r="A19" s="83" t="s">
        <v>217</v>
      </c>
      <c r="B19" s="213" t="s">
        <v>79</v>
      </c>
      <c r="C19" s="213" t="s">
        <v>20</v>
      </c>
      <c r="D19" s="83">
        <v>357</v>
      </c>
      <c r="E19" s="280">
        <v>4730</v>
      </c>
      <c r="F19" s="280">
        <v>1000</v>
      </c>
      <c r="G19" s="191" t="s">
        <v>140</v>
      </c>
      <c r="H19" s="292">
        <v>3730</v>
      </c>
      <c r="I19" s="292">
        <v>0</v>
      </c>
      <c r="J19" s="292">
        <v>0</v>
      </c>
      <c r="K19" s="292">
        <v>0</v>
      </c>
      <c r="L19" s="292">
        <v>3730</v>
      </c>
    </row>
    <row r="20" spans="1:12" x14ac:dyDescent="0.25">
      <c r="A20" s="83" t="s">
        <v>217</v>
      </c>
      <c r="B20" s="213" t="s">
        <v>81</v>
      </c>
      <c r="C20" s="213" t="s">
        <v>22</v>
      </c>
      <c r="D20" s="83">
        <v>153</v>
      </c>
      <c r="E20" s="280">
        <v>2912</v>
      </c>
      <c r="F20" s="280">
        <v>1000</v>
      </c>
      <c r="G20" s="191" t="s">
        <v>140</v>
      </c>
      <c r="H20" s="292">
        <v>1912</v>
      </c>
      <c r="I20" s="292">
        <v>0</v>
      </c>
      <c r="J20" s="292">
        <v>0</v>
      </c>
      <c r="K20" s="292">
        <v>0</v>
      </c>
      <c r="L20" s="292">
        <v>1912</v>
      </c>
    </row>
    <row r="21" spans="1:12" x14ac:dyDescent="0.25">
      <c r="A21" s="83" t="s">
        <v>217</v>
      </c>
      <c r="B21" s="213" t="s">
        <v>83</v>
      </c>
      <c r="C21" s="213" t="s">
        <v>17</v>
      </c>
      <c r="D21" s="83">
        <v>48</v>
      </c>
      <c r="E21" s="280">
        <v>92716</v>
      </c>
      <c r="F21" s="280">
        <v>1000</v>
      </c>
      <c r="G21" s="191" t="s">
        <v>140</v>
      </c>
      <c r="H21" s="292">
        <v>91716</v>
      </c>
      <c r="I21" s="292">
        <v>0</v>
      </c>
      <c r="J21" s="292">
        <v>0</v>
      </c>
      <c r="K21" s="292">
        <v>0</v>
      </c>
      <c r="L21" s="292">
        <v>91716</v>
      </c>
    </row>
    <row r="22" spans="1:12" x14ac:dyDescent="0.25">
      <c r="A22" s="83" t="s">
        <v>217</v>
      </c>
      <c r="B22" s="213" t="s">
        <v>84</v>
      </c>
      <c r="C22" s="213" t="s">
        <v>24</v>
      </c>
      <c r="D22" s="83">
        <v>350</v>
      </c>
      <c r="E22" s="280">
        <v>1129</v>
      </c>
      <c r="F22" s="280">
        <v>1000</v>
      </c>
      <c r="G22" s="191" t="s">
        <v>140</v>
      </c>
      <c r="H22" s="292">
        <v>129</v>
      </c>
      <c r="I22" s="292">
        <v>0</v>
      </c>
      <c r="J22" s="292">
        <v>0</v>
      </c>
      <c r="K22" s="292">
        <v>0</v>
      </c>
      <c r="L22" s="292">
        <v>129</v>
      </c>
    </row>
    <row r="23" spans="1:12" ht="30.75" x14ac:dyDescent="0.25">
      <c r="A23" s="83" t="s">
        <v>217</v>
      </c>
      <c r="B23" s="213" t="s">
        <v>450</v>
      </c>
      <c r="C23" s="213" t="s">
        <v>451</v>
      </c>
      <c r="D23" s="83">
        <v>374</v>
      </c>
      <c r="E23" s="280">
        <v>28722</v>
      </c>
      <c r="F23" s="280">
        <v>0</v>
      </c>
      <c r="G23" s="191" t="s">
        <v>140</v>
      </c>
      <c r="H23" s="292">
        <v>28722</v>
      </c>
      <c r="I23" s="292">
        <v>0</v>
      </c>
      <c r="J23" s="292">
        <v>0</v>
      </c>
      <c r="K23" s="292">
        <v>0</v>
      </c>
      <c r="L23" s="292">
        <v>28722</v>
      </c>
    </row>
    <row r="24" spans="1:12" ht="15.75" customHeight="1" x14ac:dyDescent="0.25">
      <c r="A24" s="83" t="s">
        <v>217</v>
      </c>
      <c r="B24" s="213" t="s">
        <v>85</v>
      </c>
      <c r="C24" s="213" t="s">
        <v>26</v>
      </c>
      <c r="D24" s="83">
        <v>171</v>
      </c>
      <c r="E24" s="280">
        <v>4940</v>
      </c>
      <c r="F24" s="280">
        <v>1000</v>
      </c>
      <c r="G24" s="191" t="s">
        <v>140</v>
      </c>
      <c r="H24" s="292">
        <v>3940</v>
      </c>
      <c r="I24" s="292">
        <v>0</v>
      </c>
      <c r="J24" s="292">
        <v>0</v>
      </c>
      <c r="K24" s="292">
        <v>0</v>
      </c>
      <c r="L24" s="292">
        <v>3940</v>
      </c>
    </row>
    <row r="25" spans="1:12" ht="30.75" x14ac:dyDescent="0.25">
      <c r="A25" s="83" t="s">
        <v>217</v>
      </c>
      <c r="B25" s="213" t="s">
        <v>86</v>
      </c>
      <c r="C25" s="213" t="s">
        <v>25</v>
      </c>
      <c r="D25" s="83">
        <v>258</v>
      </c>
      <c r="E25" s="280">
        <v>16424</v>
      </c>
      <c r="F25" s="280">
        <v>1000</v>
      </c>
      <c r="G25" s="191" t="s">
        <v>140</v>
      </c>
      <c r="H25" s="292">
        <v>15424</v>
      </c>
      <c r="I25" s="292">
        <v>0</v>
      </c>
      <c r="J25" s="292">
        <v>0</v>
      </c>
      <c r="K25" s="292">
        <v>0</v>
      </c>
      <c r="L25" s="292">
        <v>15424</v>
      </c>
    </row>
    <row r="26" spans="1:12" x14ac:dyDescent="0.25">
      <c r="A26" s="83" t="s">
        <v>217</v>
      </c>
      <c r="B26" s="213" t="s">
        <v>87</v>
      </c>
      <c r="C26" s="213" t="s">
        <v>17</v>
      </c>
      <c r="D26" s="83">
        <v>260</v>
      </c>
      <c r="E26" s="280">
        <v>46197</v>
      </c>
      <c r="F26" s="280">
        <v>1000</v>
      </c>
      <c r="G26" s="191" t="s">
        <v>140</v>
      </c>
      <c r="H26" s="292">
        <v>45197</v>
      </c>
      <c r="I26" s="292">
        <v>0</v>
      </c>
      <c r="J26" s="292">
        <v>0</v>
      </c>
      <c r="K26" s="292">
        <v>0</v>
      </c>
      <c r="L26" s="292">
        <v>45197</v>
      </c>
    </row>
    <row r="27" spans="1:12" ht="30.75" x14ac:dyDescent="0.25">
      <c r="A27" s="83" t="s">
        <v>217</v>
      </c>
      <c r="B27" s="213" t="s">
        <v>88</v>
      </c>
      <c r="C27" s="213" t="s">
        <v>27</v>
      </c>
      <c r="D27" s="83">
        <v>367</v>
      </c>
      <c r="E27" s="280">
        <v>42338</v>
      </c>
      <c r="F27" s="280">
        <v>1000</v>
      </c>
      <c r="G27" s="191" t="s">
        <v>140</v>
      </c>
      <c r="H27" s="292">
        <v>41338</v>
      </c>
      <c r="I27" s="292">
        <v>0</v>
      </c>
      <c r="J27" s="292">
        <v>0</v>
      </c>
      <c r="K27" s="292">
        <v>0</v>
      </c>
      <c r="L27" s="292">
        <v>41338</v>
      </c>
    </row>
    <row r="28" spans="1:12" ht="15" customHeight="1" x14ac:dyDescent="0.25">
      <c r="A28" s="83" t="s">
        <v>217</v>
      </c>
      <c r="B28" s="213" t="s">
        <v>89</v>
      </c>
      <c r="C28" s="213" t="s">
        <v>28</v>
      </c>
      <c r="D28" s="83">
        <v>351</v>
      </c>
      <c r="E28" s="280">
        <v>2094</v>
      </c>
      <c r="F28" s="280">
        <v>1000</v>
      </c>
      <c r="G28" s="191" t="s">
        <v>140</v>
      </c>
      <c r="H28" s="292">
        <v>1094</v>
      </c>
      <c r="I28" s="292">
        <v>0</v>
      </c>
      <c r="J28" s="292">
        <v>0</v>
      </c>
      <c r="K28" s="292">
        <v>0</v>
      </c>
      <c r="L28" s="292">
        <v>1094</v>
      </c>
    </row>
    <row r="29" spans="1:12" ht="15.75" customHeight="1" x14ac:dyDescent="0.25">
      <c r="A29" s="202" t="s">
        <v>308</v>
      </c>
      <c r="B29" s="218" t="s">
        <v>140</v>
      </c>
      <c r="C29" s="218" t="s">
        <v>140</v>
      </c>
      <c r="D29" s="218" t="s">
        <v>140</v>
      </c>
      <c r="E29" s="244">
        <f>SUBTOTAL(109,school202021[Program
Costs])</f>
        <v>423125</v>
      </c>
      <c r="F29" s="244">
        <f>SUBTOTAL(109,school202021[Less: Net Payments and Offsets2])</f>
        <v>24000</v>
      </c>
      <c r="G29" s="218" t="s">
        <v>140</v>
      </c>
      <c r="H29" s="244">
        <f>SUBTOTAL(109,school202021[Accounts Payable
Balance])</f>
        <v>399125</v>
      </c>
      <c r="I29" s="244">
        <f>SUBTOTAL(105,school202021[Established
Accounts Receivable])</f>
        <v>0</v>
      </c>
      <c r="J29" s="244">
        <f>SUBTOTAL(109,school202021[Less: Recovered Amount])</f>
        <v>0</v>
      </c>
      <c r="K29" s="244">
        <f>SUBTOTAL(109,school202021[Accounts Receivable
Balance])</f>
        <v>0</v>
      </c>
      <c r="L29" s="244">
        <f>SUBTOTAL(109,school202021[Net
Balance])</f>
        <v>399125</v>
      </c>
    </row>
    <row r="30" spans="1:12" ht="15" customHeight="1" x14ac:dyDescent="0.25">
      <c r="A30" s="195" t="s">
        <v>141</v>
      </c>
      <c r="B30" s="142"/>
      <c r="C30" s="142"/>
      <c r="D30" s="142"/>
      <c r="E30" s="26"/>
      <c r="F30" s="26"/>
      <c r="G30" s="196"/>
      <c r="H30" s="26"/>
      <c r="I30" s="26"/>
      <c r="J30" s="26"/>
      <c r="K30" s="26"/>
      <c r="L30" s="26"/>
    </row>
    <row r="31" spans="1:12" ht="50.1" customHeight="1" x14ac:dyDescent="0.25">
      <c r="A31" s="12" t="s">
        <v>5</v>
      </c>
      <c r="B31" s="12" t="s">
        <v>6</v>
      </c>
      <c r="C31" s="12" t="s">
        <v>0</v>
      </c>
      <c r="D31" s="12" t="s">
        <v>441</v>
      </c>
      <c r="E31" s="189" t="s">
        <v>234</v>
      </c>
      <c r="F31" s="6" t="s">
        <v>452</v>
      </c>
      <c r="G31" s="198" t="s">
        <v>443</v>
      </c>
      <c r="H31" s="189" t="s">
        <v>444</v>
      </c>
      <c r="I31" s="189" t="s">
        <v>445</v>
      </c>
      <c r="J31" s="189" t="s">
        <v>446</v>
      </c>
      <c r="K31" s="189" t="s">
        <v>447</v>
      </c>
      <c r="L31" s="189" t="s">
        <v>305</v>
      </c>
    </row>
    <row r="32" spans="1:12" ht="30.75" x14ac:dyDescent="0.25">
      <c r="A32" s="83" t="s">
        <v>96</v>
      </c>
      <c r="B32" s="213" t="s">
        <v>66</v>
      </c>
      <c r="C32" s="213" t="s">
        <v>7</v>
      </c>
      <c r="D32" s="83">
        <v>250</v>
      </c>
      <c r="E32" s="280">
        <v>6108</v>
      </c>
      <c r="F32" s="280">
        <v>1000</v>
      </c>
      <c r="G32" s="191" t="s">
        <v>140</v>
      </c>
      <c r="H32" s="292">
        <v>5108</v>
      </c>
      <c r="I32" s="292">
        <v>0</v>
      </c>
      <c r="J32" s="292">
        <v>0</v>
      </c>
      <c r="K32" s="292">
        <v>0</v>
      </c>
      <c r="L32" s="292">
        <v>5108</v>
      </c>
    </row>
    <row r="33" spans="1:12" ht="30.75" customHeight="1" x14ac:dyDescent="0.25">
      <c r="A33" s="83" t="s">
        <v>96</v>
      </c>
      <c r="B33" s="213" t="s">
        <v>68</v>
      </c>
      <c r="C33" s="213" t="s">
        <v>9</v>
      </c>
      <c r="D33" s="83">
        <v>369</v>
      </c>
      <c r="E33" s="280">
        <v>5946</v>
      </c>
      <c r="F33" s="280">
        <v>1000</v>
      </c>
      <c r="G33" s="191" t="s">
        <v>140</v>
      </c>
      <c r="H33" s="292">
        <v>4946</v>
      </c>
      <c r="I33" s="292">
        <v>0</v>
      </c>
      <c r="J33" s="292">
        <v>0</v>
      </c>
      <c r="K33" s="292">
        <v>0</v>
      </c>
      <c r="L33" s="292">
        <v>4946</v>
      </c>
    </row>
    <row r="34" spans="1:12" ht="30.75" x14ac:dyDescent="0.25">
      <c r="A34" s="83" t="s">
        <v>96</v>
      </c>
      <c r="B34" s="213" t="s">
        <v>69</v>
      </c>
      <c r="C34" s="213" t="s">
        <v>10</v>
      </c>
      <c r="D34" s="83">
        <v>172</v>
      </c>
      <c r="E34" s="280">
        <v>1074</v>
      </c>
      <c r="F34" s="280">
        <v>1000</v>
      </c>
      <c r="G34" s="191" t="s">
        <v>140</v>
      </c>
      <c r="H34" s="292">
        <v>74</v>
      </c>
      <c r="I34" s="292">
        <v>0</v>
      </c>
      <c r="J34" s="292">
        <v>0</v>
      </c>
      <c r="K34" s="292">
        <v>0</v>
      </c>
      <c r="L34" s="292">
        <v>74</v>
      </c>
    </row>
    <row r="35" spans="1:12" ht="30.75" customHeight="1" x14ac:dyDescent="0.25">
      <c r="A35" s="83" t="s">
        <v>96</v>
      </c>
      <c r="B35" s="213" t="s">
        <v>72</v>
      </c>
      <c r="C35" s="213" t="s">
        <v>13</v>
      </c>
      <c r="D35" s="83">
        <v>11</v>
      </c>
      <c r="E35" s="280">
        <v>69874</v>
      </c>
      <c r="F35" s="280">
        <v>1000</v>
      </c>
      <c r="G35" s="191" t="s">
        <v>140</v>
      </c>
      <c r="H35" s="292">
        <v>68874</v>
      </c>
      <c r="I35" s="292">
        <v>0</v>
      </c>
      <c r="J35" s="292">
        <v>0</v>
      </c>
      <c r="K35" s="292">
        <v>0</v>
      </c>
      <c r="L35" s="292">
        <v>68874</v>
      </c>
    </row>
    <row r="36" spans="1:12" ht="15.75" customHeight="1" x14ac:dyDescent="0.25">
      <c r="A36" s="83" t="s">
        <v>96</v>
      </c>
      <c r="B36" s="213" t="s">
        <v>73</v>
      </c>
      <c r="C36" s="213" t="s">
        <v>14</v>
      </c>
      <c r="D36" s="83">
        <v>313</v>
      </c>
      <c r="E36" s="280">
        <v>13548</v>
      </c>
      <c r="F36" s="280">
        <v>1000</v>
      </c>
      <c r="G36" s="191" t="s">
        <v>140</v>
      </c>
      <c r="H36" s="292">
        <v>12548</v>
      </c>
      <c r="I36" s="292">
        <v>0</v>
      </c>
      <c r="J36" s="292">
        <v>0</v>
      </c>
      <c r="K36" s="292">
        <v>0</v>
      </c>
      <c r="L36" s="292">
        <v>12548</v>
      </c>
    </row>
    <row r="37" spans="1:12" ht="45.75" x14ac:dyDescent="0.25">
      <c r="A37" s="83" t="s">
        <v>96</v>
      </c>
      <c r="B37" s="213" t="s">
        <v>67</v>
      </c>
      <c r="C37" s="213" t="s">
        <v>8</v>
      </c>
      <c r="D37" s="83">
        <v>272</v>
      </c>
      <c r="E37" s="280">
        <v>17195</v>
      </c>
      <c r="F37" s="280">
        <v>1000</v>
      </c>
      <c r="G37" s="191" t="s">
        <v>140</v>
      </c>
      <c r="H37" s="292">
        <v>16195</v>
      </c>
      <c r="I37" s="292">
        <v>0</v>
      </c>
      <c r="J37" s="292">
        <v>0</v>
      </c>
      <c r="K37" s="292">
        <v>0</v>
      </c>
      <c r="L37" s="292">
        <v>16195</v>
      </c>
    </row>
    <row r="38" spans="1:12" ht="75" customHeight="1" x14ac:dyDescent="0.25">
      <c r="A38" s="83" t="s">
        <v>96</v>
      </c>
      <c r="B38" s="213" t="s">
        <v>448</v>
      </c>
      <c r="C38" s="213" t="s">
        <v>449</v>
      </c>
      <c r="D38" s="83">
        <v>292</v>
      </c>
      <c r="E38" s="280">
        <v>15031</v>
      </c>
      <c r="F38" s="280">
        <v>1000</v>
      </c>
      <c r="G38" s="191" t="s">
        <v>140</v>
      </c>
      <c r="H38" s="292">
        <v>14031</v>
      </c>
      <c r="I38" s="292">
        <v>0</v>
      </c>
      <c r="J38" s="292">
        <v>0</v>
      </c>
      <c r="K38" s="292">
        <v>0</v>
      </c>
      <c r="L38" s="292">
        <v>14031</v>
      </c>
    </row>
    <row r="39" spans="1:12" ht="30.75" x14ac:dyDescent="0.25">
      <c r="A39" s="83" t="s">
        <v>96</v>
      </c>
      <c r="B39" s="213" t="s">
        <v>71</v>
      </c>
      <c r="C39" s="213" t="s">
        <v>12</v>
      </c>
      <c r="D39" s="83">
        <v>209</v>
      </c>
      <c r="E39" s="280">
        <v>30835</v>
      </c>
      <c r="F39" s="280">
        <v>1000</v>
      </c>
      <c r="G39" s="191" t="s">
        <v>140</v>
      </c>
      <c r="H39" s="292">
        <v>29835</v>
      </c>
      <c r="I39" s="292">
        <v>0</v>
      </c>
      <c r="J39" s="292">
        <v>0</v>
      </c>
      <c r="K39" s="292">
        <v>0</v>
      </c>
      <c r="L39" s="292">
        <v>29835</v>
      </c>
    </row>
    <row r="40" spans="1:12" x14ac:dyDescent="0.25">
      <c r="A40" s="83" t="s">
        <v>96</v>
      </c>
      <c r="B40" s="213" t="s">
        <v>74</v>
      </c>
      <c r="C40" s="213" t="s">
        <v>15</v>
      </c>
      <c r="D40" s="83">
        <v>183</v>
      </c>
      <c r="E40" s="280">
        <v>4625</v>
      </c>
      <c r="F40" s="280">
        <v>1000</v>
      </c>
      <c r="G40" s="191" t="s">
        <v>140</v>
      </c>
      <c r="H40" s="292">
        <v>3625</v>
      </c>
      <c r="I40" s="292">
        <v>0</v>
      </c>
      <c r="J40" s="292">
        <v>0</v>
      </c>
      <c r="K40" s="292">
        <v>0</v>
      </c>
      <c r="L40" s="292">
        <v>3625</v>
      </c>
    </row>
    <row r="41" spans="1:12" x14ac:dyDescent="0.25">
      <c r="A41" s="83" t="s">
        <v>96</v>
      </c>
      <c r="B41" s="213" t="s">
        <v>75</v>
      </c>
      <c r="C41" s="213" t="s">
        <v>16</v>
      </c>
      <c r="D41" s="83">
        <v>192</v>
      </c>
      <c r="E41" s="280">
        <v>1617</v>
      </c>
      <c r="F41" s="280">
        <v>1000</v>
      </c>
      <c r="G41" s="191" t="s">
        <v>140</v>
      </c>
      <c r="H41" s="292">
        <v>617</v>
      </c>
      <c r="I41" s="292">
        <v>0</v>
      </c>
      <c r="J41" s="292">
        <v>0</v>
      </c>
      <c r="K41" s="292">
        <v>0</v>
      </c>
      <c r="L41" s="292">
        <v>617</v>
      </c>
    </row>
    <row r="42" spans="1:12" ht="30.75" x14ac:dyDescent="0.25">
      <c r="A42" s="83" t="s">
        <v>96</v>
      </c>
      <c r="B42" s="213" t="s">
        <v>76</v>
      </c>
      <c r="C42" s="213" t="s">
        <v>17</v>
      </c>
      <c r="D42" s="83">
        <v>297</v>
      </c>
      <c r="E42" s="280">
        <v>12193</v>
      </c>
      <c r="F42" s="280">
        <v>1000</v>
      </c>
      <c r="G42" s="191" t="s">
        <v>140</v>
      </c>
      <c r="H42" s="292">
        <v>11193</v>
      </c>
      <c r="I42" s="292">
        <v>0</v>
      </c>
      <c r="J42" s="292">
        <v>0</v>
      </c>
      <c r="K42" s="292">
        <v>0</v>
      </c>
      <c r="L42" s="292">
        <v>11193</v>
      </c>
    </row>
    <row r="43" spans="1:12" x14ac:dyDescent="0.25">
      <c r="A43" s="83" t="s">
        <v>96</v>
      </c>
      <c r="B43" s="213" t="s">
        <v>77</v>
      </c>
      <c r="C43" s="213" t="s">
        <v>18</v>
      </c>
      <c r="D43" s="83">
        <v>166</v>
      </c>
      <c r="E43" s="280">
        <v>16225</v>
      </c>
      <c r="F43" s="280">
        <v>1000</v>
      </c>
      <c r="G43" s="191" t="s">
        <v>140</v>
      </c>
      <c r="H43" s="292">
        <v>15225</v>
      </c>
      <c r="I43" s="292">
        <v>0</v>
      </c>
      <c r="J43" s="292">
        <v>0</v>
      </c>
      <c r="K43" s="292">
        <v>0</v>
      </c>
      <c r="L43" s="292">
        <v>15225</v>
      </c>
    </row>
    <row r="44" spans="1:12" x14ac:dyDescent="0.25">
      <c r="A44" s="83" t="s">
        <v>96</v>
      </c>
      <c r="B44" s="213" t="s">
        <v>80</v>
      </c>
      <c r="C44" s="213" t="s">
        <v>21</v>
      </c>
      <c r="D44" s="83">
        <v>32</v>
      </c>
      <c r="E44" s="280">
        <v>7415</v>
      </c>
      <c r="F44" s="280">
        <v>1000</v>
      </c>
      <c r="G44" s="191" t="s">
        <v>140</v>
      </c>
      <c r="H44" s="292">
        <v>6415</v>
      </c>
      <c r="I44" s="292">
        <v>0</v>
      </c>
      <c r="J44" s="292">
        <v>0</v>
      </c>
      <c r="K44" s="292">
        <v>0</v>
      </c>
      <c r="L44" s="292">
        <v>6415</v>
      </c>
    </row>
    <row r="45" spans="1:12" ht="30.75" x14ac:dyDescent="0.25">
      <c r="A45" s="83" t="s">
        <v>96</v>
      </c>
      <c r="B45" s="213" t="s">
        <v>78</v>
      </c>
      <c r="C45" s="213" t="s">
        <v>19</v>
      </c>
      <c r="D45" s="83">
        <v>368</v>
      </c>
      <c r="E45" s="280">
        <v>7898</v>
      </c>
      <c r="F45" s="280">
        <v>1000</v>
      </c>
      <c r="G45" s="191" t="s">
        <v>140</v>
      </c>
      <c r="H45" s="292">
        <v>6898</v>
      </c>
      <c r="I45" s="292">
        <v>0</v>
      </c>
      <c r="J45" s="292">
        <v>0</v>
      </c>
      <c r="K45" s="292">
        <v>0</v>
      </c>
      <c r="L45" s="292">
        <v>6898</v>
      </c>
    </row>
    <row r="46" spans="1:12" x14ac:dyDescent="0.25">
      <c r="A46" s="83" t="s">
        <v>96</v>
      </c>
      <c r="B46" s="213" t="s">
        <v>79</v>
      </c>
      <c r="C46" s="213" t="s">
        <v>20</v>
      </c>
      <c r="D46" s="83">
        <v>357</v>
      </c>
      <c r="E46" s="280">
        <v>6448</v>
      </c>
      <c r="F46" s="280">
        <v>1000</v>
      </c>
      <c r="G46" s="191" t="s">
        <v>140</v>
      </c>
      <c r="H46" s="292">
        <v>5448</v>
      </c>
      <c r="I46" s="292">
        <v>0</v>
      </c>
      <c r="J46" s="292">
        <v>0</v>
      </c>
      <c r="K46" s="292">
        <v>0</v>
      </c>
      <c r="L46" s="292">
        <v>5448</v>
      </c>
    </row>
    <row r="47" spans="1:12" x14ac:dyDescent="0.25">
      <c r="A47" s="83" t="s">
        <v>96</v>
      </c>
      <c r="B47" s="213" t="s">
        <v>81</v>
      </c>
      <c r="C47" s="213" t="s">
        <v>22</v>
      </c>
      <c r="D47" s="83">
        <v>153</v>
      </c>
      <c r="E47" s="280">
        <v>2634</v>
      </c>
      <c r="F47" s="280">
        <v>1000</v>
      </c>
      <c r="G47" s="191" t="s">
        <v>140</v>
      </c>
      <c r="H47" s="292">
        <v>1634</v>
      </c>
      <c r="I47" s="292">
        <v>0</v>
      </c>
      <c r="J47" s="292">
        <v>0</v>
      </c>
      <c r="K47" s="292">
        <v>0</v>
      </c>
      <c r="L47" s="292">
        <v>1634</v>
      </c>
    </row>
    <row r="48" spans="1:12" x14ac:dyDescent="0.25">
      <c r="A48" s="83" t="s">
        <v>96</v>
      </c>
      <c r="B48" s="213" t="s">
        <v>83</v>
      </c>
      <c r="C48" s="213" t="s">
        <v>17</v>
      </c>
      <c r="D48" s="83">
        <v>48</v>
      </c>
      <c r="E48" s="280">
        <v>24675</v>
      </c>
      <c r="F48" s="280">
        <v>1000</v>
      </c>
      <c r="G48" s="191" t="s">
        <v>140</v>
      </c>
      <c r="H48" s="292">
        <v>23675</v>
      </c>
      <c r="I48" s="292">
        <v>0</v>
      </c>
      <c r="J48" s="292">
        <v>0</v>
      </c>
      <c r="K48" s="292">
        <v>0</v>
      </c>
      <c r="L48" s="292">
        <v>23675</v>
      </c>
    </row>
    <row r="49" spans="1:12" ht="30.75" x14ac:dyDescent="0.25">
      <c r="A49" s="83" t="s">
        <v>96</v>
      </c>
      <c r="B49" s="213" t="s">
        <v>450</v>
      </c>
      <c r="C49" s="213" t="s">
        <v>451</v>
      </c>
      <c r="D49" s="83">
        <v>374</v>
      </c>
      <c r="E49" s="280">
        <v>99676</v>
      </c>
      <c r="F49" s="280">
        <v>1000</v>
      </c>
      <c r="G49" s="191" t="s">
        <v>140</v>
      </c>
      <c r="H49" s="292">
        <v>98676</v>
      </c>
      <c r="I49" s="292">
        <v>0</v>
      </c>
      <c r="J49" s="292">
        <v>0</v>
      </c>
      <c r="K49" s="292">
        <v>0</v>
      </c>
      <c r="L49" s="292">
        <v>98676</v>
      </c>
    </row>
    <row r="50" spans="1:12" ht="15.75" customHeight="1" x14ac:dyDescent="0.25">
      <c r="A50" s="83" t="s">
        <v>96</v>
      </c>
      <c r="B50" s="213" t="s">
        <v>85</v>
      </c>
      <c r="C50" s="213" t="s">
        <v>26</v>
      </c>
      <c r="D50" s="83">
        <v>171</v>
      </c>
      <c r="E50" s="280">
        <v>6401</v>
      </c>
      <c r="F50" s="280">
        <v>1000</v>
      </c>
      <c r="G50" s="191" t="s">
        <v>140</v>
      </c>
      <c r="H50" s="292">
        <v>5401</v>
      </c>
      <c r="I50" s="292">
        <v>0</v>
      </c>
      <c r="J50" s="292">
        <v>0</v>
      </c>
      <c r="K50" s="292">
        <v>0</v>
      </c>
      <c r="L50" s="292">
        <v>5401</v>
      </c>
    </row>
    <row r="51" spans="1:12" ht="30.75" x14ac:dyDescent="0.25">
      <c r="A51" s="83" t="s">
        <v>96</v>
      </c>
      <c r="B51" s="213" t="s">
        <v>86</v>
      </c>
      <c r="C51" s="213" t="s">
        <v>25</v>
      </c>
      <c r="D51" s="83">
        <v>258</v>
      </c>
      <c r="E51" s="280">
        <v>25763</v>
      </c>
      <c r="F51" s="280">
        <v>1000</v>
      </c>
      <c r="G51" s="191" t="s">
        <v>140</v>
      </c>
      <c r="H51" s="292">
        <v>24763</v>
      </c>
      <c r="I51" s="292">
        <v>0</v>
      </c>
      <c r="J51" s="292">
        <v>0</v>
      </c>
      <c r="K51" s="292">
        <v>0</v>
      </c>
      <c r="L51" s="292">
        <v>24763</v>
      </c>
    </row>
    <row r="52" spans="1:12" x14ac:dyDescent="0.25">
      <c r="A52" s="83" t="s">
        <v>96</v>
      </c>
      <c r="B52" s="213" t="s">
        <v>87</v>
      </c>
      <c r="C52" s="213" t="s">
        <v>17</v>
      </c>
      <c r="D52" s="83">
        <v>260</v>
      </c>
      <c r="E52" s="280">
        <v>83397</v>
      </c>
      <c r="F52" s="280">
        <v>1000</v>
      </c>
      <c r="G52" s="191" t="s">
        <v>140</v>
      </c>
      <c r="H52" s="292">
        <v>82397</v>
      </c>
      <c r="I52" s="292">
        <v>0</v>
      </c>
      <c r="J52" s="292">
        <v>0</v>
      </c>
      <c r="K52" s="292">
        <v>0</v>
      </c>
      <c r="L52" s="292">
        <v>82397</v>
      </c>
    </row>
    <row r="53" spans="1:12" ht="30.75" x14ac:dyDescent="0.25">
      <c r="A53" s="83" t="s">
        <v>96</v>
      </c>
      <c r="B53" s="213" t="s">
        <v>88</v>
      </c>
      <c r="C53" s="213" t="s">
        <v>27</v>
      </c>
      <c r="D53" s="83">
        <v>367</v>
      </c>
      <c r="E53" s="280">
        <v>87340</v>
      </c>
      <c r="F53" s="280">
        <v>1000</v>
      </c>
      <c r="G53" s="191" t="s">
        <v>140</v>
      </c>
      <c r="H53" s="292">
        <v>86340</v>
      </c>
      <c r="I53" s="292">
        <v>0</v>
      </c>
      <c r="J53" s="292">
        <v>0</v>
      </c>
      <c r="K53" s="292">
        <v>0</v>
      </c>
      <c r="L53" s="292">
        <v>86340</v>
      </c>
    </row>
    <row r="54" spans="1:12" ht="15" customHeight="1" x14ac:dyDescent="0.25">
      <c r="A54" s="83" t="s">
        <v>96</v>
      </c>
      <c r="B54" s="213" t="s">
        <v>89</v>
      </c>
      <c r="C54" s="213" t="s">
        <v>28</v>
      </c>
      <c r="D54" s="83">
        <v>351</v>
      </c>
      <c r="E54" s="280">
        <v>3404</v>
      </c>
      <c r="F54" s="280">
        <v>1000</v>
      </c>
      <c r="G54" s="191" t="s">
        <v>140</v>
      </c>
      <c r="H54" s="292">
        <v>2404</v>
      </c>
      <c r="I54" s="292">
        <v>0</v>
      </c>
      <c r="J54" s="292">
        <v>0</v>
      </c>
      <c r="K54" s="292">
        <v>0</v>
      </c>
      <c r="L54" s="292">
        <v>2404</v>
      </c>
    </row>
    <row r="55" spans="1:12" ht="15.75" customHeight="1" x14ac:dyDescent="0.25">
      <c r="A55" s="199" t="s">
        <v>309</v>
      </c>
      <c r="B55" s="214" t="s">
        <v>140</v>
      </c>
      <c r="C55" s="214" t="s">
        <v>140</v>
      </c>
      <c r="D55" s="214" t="s">
        <v>140</v>
      </c>
      <c r="E55" s="293">
        <f>SUBTOTAL(109,school202021127[Program
Costs])</f>
        <v>549322</v>
      </c>
      <c r="F55" s="293">
        <f>SUBTOTAL(109,school202021127[Less: Net Payments and Offsets2])</f>
        <v>23000</v>
      </c>
      <c r="G55" s="214" t="s">
        <v>140</v>
      </c>
      <c r="H55" s="293">
        <f>SUBTOTAL(109,school202021127[Accounts Payable
Balance])</f>
        <v>526322</v>
      </c>
      <c r="I55" s="293">
        <f>SUBTOTAL(105,school202021127[Established
Accounts Receivable])</f>
        <v>0</v>
      </c>
      <c r="J55" s="293">
        <f>SUBTOTAL(109,school202021127[Less: Recovered Amount])</f>
        <v>0</v>
      </c>
      <c r="K55" s="293">
        <f>SUBTOTAL(109,school202021127[Accounts Receivable
Balance])</f>
        <v>0</v>
      </c>
      <c r="L55" s="293">
        <f>SUBTOTAL(109,school202021127[Net
Balance])</f>
        <v>526322</v>
      </c>
    </row>
    <row r="56" spans="1:12" ht="15" customHeight="1" x14ac:dyDescent="0.25">
      <c r="A56" s="195"/>
      <c r="B56" s="142"/>
      <c r="C56" s="142"/>
      <c r="D56" s="142"/>
      <c r="E56" s="26"/>
      <c r="F56" s="26"/>
      <c r="G56" s="196"/>
      <c r="H56" s="26"/>
      <c r="I56" s="26"/>
      <c r="J56" s="26"/>
      <c r="K56" s="26"/>
      <c r="L56" s="26"/>
    </row>
    <row r="57" spans="1:12" ht="50.1" customHeight="1" x14ac:dyDescent="0.25">
      <c r="A57" s="10" t="s">
        <v>5</v>
      </c>
      <c r="B57" s="10" t="s">
        <v>6</v>
      </c>
      <c r="C57" s="10" t="s">
        <v>0</v>
      </c>
      <c r="D57" s="10" t="s">
        <v>441</v>
      </c>
      <c r="E57" s="215" t="s">
        <v>234</v>
      </c>
      <c r="F57" s="216" t="s">
        <v>452</v>
      </c>
      <c r="G57" s="217" t="s">
        <v>142</v>
      </c>
      <c r="H57" s="215" t="s">
        <v>444</v>
      </c>
      <c r="I57" s="215" t="s">
        <v>445</v>
      </c>
      <c r="J57" s="215" t="s">
        <v>446</v>
      </c>
      <c r="K57" s="215" t="s">
        <v>447</v>
      </c>
      <c r="L57" s="215" t="s">
        <v>305</v>
      </c>
    </row>
    <row r="58" spans="1:12" ht="30.75" x14ac:dyDescent="0.25">
      <c r="A58" s="83" t="s">
        <v>46</v>
      </c>
      <c r="B58" s="213" t="s">
        <v>66</v>
      </c>
      <c r="C58" s="213" t="s">
        <v>7</v>
      </c>
      <c r="D58" s="83">
        <v>250</v>
      </c>
      <c r="E58" s="280">
        <v>7166</v>
      </c>
      <c r="F58" s="280">
        <v>1000</v>
      </c>
      <c r="G58" s="191" t="s">
        <v>140</v>
      </c>
      <c r="H58" s="292">
        <v>6166</v>
      </c>
      <c r="I58" s="292">
        <v>0</v>
      </c>
      <c r="J58" s="292">
        <v>0</v>
      </c>
      <c r="K58" s="292">
        <v>0</v>
      </c>
      <c r="L58" s="292">
        <v>6166</v>
      </c>
    </row>
    <row r="59" spans="1:12" ht="30.75" customHeight="1" x14ac:dyDescent="0.25">
      <c r="A59" s="83" t="s">
        <v>46</v>
      </c>
      <c r="B59" s="213" t="s">
        <v>68</v>
      </c>
      <c r="C59" s="213" t="s">
        <v>9</v>
      </c>
      <c r="D59" s="83">
        <v>369</v>
      </c>
      <c r="E59" s="280">
        <v>8376</v>
      </c>
      <c r="F59" s="280">
        <v>1000</v>
      </c>
      <c r="G59" s="191" t="s">
        <v>140</v>
      </c>
      <c r="H59" s="292">
        <v>7376</v>
      </c>
      <c r="I59" s="292">
        <v>0</v>
      </c>
      <c r="J59" s="292">
        <v>0</v>
      </c>
      <c r="K59" s="292">
        <v>0</v>
      </c>
      <c r="L59" s="292">
        <v>7376</v>
      </c>
    </row>
    <row r="60" spans="1:12" ht="30.75" x14ac:dyDescent="0.25">
      <c r="A60" s="83" t="s">
        <v>46</v>
      </c>
      <c r="B60" s="213" t="s">
        <v>69</v>
      </c>
      <c r="C60" s="213" t="s">
        <v>10</v>
      </c>
      <c r="D60" s="83">
        <v>172</v>
      </c>
      <c r="E60" s="280">
        <v>1202</v>
      </c>
      <c r="F60" s="280">
        <v>1000</v>
      </c>
      <c r="G60" s="191" t="s">
        <v>140</v>
      </c>
      <c r="H60" s="292">
        <v>202</v>
      </c>
      <c r="I60" s="292">
        <v>0</v>
      </c>
      <c r="J60" s="292">
        <v>0</v>
      </c>
      <c r="K60" s="292">
        <v>0</v>
      </c>
      <c r="L60" s="292">
        <v>202</v>
      </c>
    </row>
    <row r="61" spans="1:12" ht="30.75" customHeight="1" x14ac:dyDescent="0.25">
      <c r="A61" s="83" t="s">
        <v>46</v>
      </c>
      <c r="B61" s="213" t="s">
        <v>72</v>
      </c>
      <c r="C61" s="213" t="s">
        <v>13</v>
      </c>
      <c r="D61" s="83">
        <v>11</v>
      </c>
      <c r="E61" s="280">
        <v>27854</v>
      </c>
      <c r="F61" s="280">
        <v>1000</v>
      </c>
      <c r="G61" s="191" t="s">
        <v>140</v>
      </c>
      <c r="H61" s="292">
        <v>26854</v>
      </c>
      <c r="I61" s="292">
        <v>0</v>
      </c>
      <c r="J61" s="292">
        <v>0</v>
      </c>
      <c r="K61" s="292">
        <v>0</v>
      </c>
      <c r="L61" s="292">
        <v>26854</v>
      </c>
    </row>
    <row r="62" spans="1:12" ht="15.75" customHeight="1" x14ac:dyDescent="0.25">
      <c r="A62" s="83" t="s">
        <v>46</v>
      </c>
      <c r="B62" s="213" t="s">
        <v>73</v>
      </c>
      <c r="C62" s="213" t="s">
        <v>14</v>
      </c>
      <c r="D62" s="83">
        <v>313</v>
      </c>
      <c r="E62" s="280">
        <v>14450</v>
      </c>
      <c r="F62" s="280">
        <v>1000</v>
      </c>
      <c r="G62" s="191" t="s">
        <v>140</v>
      </c>
      <c r="H62" s="292">
        <v>13450</v>
      </c>
      <c r="I62" s="292">
        <v>0</v>
      </c>
      <c r="J62" s="292">
        <v>0</v>
      </c>
      <c r="K62" s="292">
        <v>0</v>
      </c>
      <c r="L62" s="292">
        <v>13450</v>
      </c>
    </row>
    <row r="63" spans="1:12" ht="30.75" customHeight="1" x14ac:dyDescent="0.25">
      <c r="A63" s="83" t="s">
        <v>46</v>
      </c>
      <c r="B63" s="213" t="s">
        <v>70</v>
      </c>
      <c r="C63" s="213" t="s">
        <v>11</v>
      </c>
      <c r="D63" s="83">
        <v>330</v>
      </c>
      <c r="E63" s="280">
        <v>21004</v>
      </c>
      <c r="F63" s="280">
        <v>1000</v>
      </c>
      <c r="G63" s="191" t="s">
        <v>140</v>
      </c>
      <c r="H63" s="292">
        <v>20004</v>
      </c>
      <c r="I63" s="292">
        <v>0</v>
      </c>
      <c r="J63" s="292">
        <v>0</v>
      </c>
      <c r="K63" s="292">
        <v>0</v>
      </c>
      <c r="L63" s="292">
        <v>20004</v>
      </c>
    </row>
    <row r="64" spans="1:12" ht="45.75" x14ac:dyDescent="0.25">
      <c r="A64" s="83" t="s">
        <v>46</v>
      </c>
      <c r="B64" s="213" t="s">
        <v>67</v>
      </c>
      <c r="C64" s="213" t="s">
        <v>8</v>
      </c>
      <c r="D64" s="83">
        <v>272</v>
      </c>
      <c r="E64" s="280">
        <v>25757</v>
      </c>
      <c r="F64" s="280">
        <v>1000</v>
      </c>
      <c r="G64" s="191" t="s">
        <v>140</v>
      </c>
      <c r="H64" s="292">
        <v>24757</v>
      </c>
      <c r="I64" s="292">
        <v>0</v>
      </c>
      <c r="J64" s="292">
        <v>0</v>
      </c>
      <c r="K64" s="292">
        <v>0</v>
      </c>
      <c r="L64" s="292">
        <v>24757</v>
      </c>
    </row>
    <row r="65" spans="1:12" ht="45.75" customHeight="1" x14ac:dyDescent="0.25">
      <c r="A65" s="83" t="s">
        <v>46</v>
      </c>
      <c r="B65" s="213" t="s">
        <v>82</v>
      </c>
      <c r="C65" s="213" t="s">
        <v>23</v>
      </c>
      <c r="D65" s="83">
        <v>276</v>
      </c>
      <c r="E65" s="280">
        <v>7997</v>
      </c>
      <c r="F65" s="280">
        <v>1000</v>
      </c>
      <c r="G65" s="191" t="s">
        <v>140</v>
      </c>
      <c r="H65" s="292">
        <v>6997</v>
      </c>
      <c r="I65" s="292">
        <v>0</v>
      </c>
      <c r="J65" s="292">
        <v>0</v>
      </c>
      <c r="K65" s="292">
        <v>0</v>
      </c>
      <c r="L65" s="292">
        <v>6997</v>
      </c>
    </row>
    <row r="66" spans="1:12" ht="75.75" customHeight="1" x14ac:dyDescent="0.25">
      <c r="A66" s="83" t="s">
        <v>46</v>
      </c>
      <c r="B66" s="213" t="s">
        <v>448</v>
      </c>
      <c r="C66" s="213" t="s">
        <v>449</v>
      </c>
      <c r="D66" s="83">
        <v>292</v>
      </c>
      <c r="E66" s="280">
        <v>33163</v>
      </c>
      <c r="F66" s="280">
        <v>1000</v>
      </c>
      <c r="G66" s="191" t="s">
        <v>140</v>
      </c>
      <c r="H66" s="292">
        <v>32163</v>
      </c>
      <c r="I66" s="292">
        <v>0</v>
      </c>
      <c r="J66" s="292">
        <v>0</v>
      </c>
      <c r="K66" s="292">
        <v>0</v>
      </c>
      <c r="L66" s="292">
        <v>32163</v>
      </c>
    </row>
    <row r="67" spans="1:12" ht="30.75" x14ac:dyDescent="0.25">
      <c r="A67" s="83" t="s">
        <v>46</v>
      </c>
      <c r="B67" s="213" t="s">
        <v>71</v>
      </c>
      <c r="C67" s="213" t="s">
        <v>12</v>
      </c>
      <c r="D67" s="83">
        <v>209</v>
      </c>
      <c r="E67" s="280">
        <v>35550</v>
      </c>
      <c r="F67" s="280">
        <v>1000</v>
      </c>
      <c r="G67" s="191" t="s">
        <v>140</v>
      </c>
      <c r="H67" s="292">
        <v>34550</v>
      </c>
      <c r="I67" s="292">
        <v>0</v>
      </c>
      <c r="J67" s="292">
        <v>0</v>
      </c>
      <c r="K67" s="292">
        <v>0</v>
      </c>
      <c r="L67" s="292">
        <v>34550</v>
      </c>
    </row>
    <row r="68" spans="1:12" x14ac:dyDescent="0.25">
      <c r="A68" s="83" t="s">
        <v>46</v>
      </c>
      <c r="B68" s="213" t="s">
        <v>74</v>
      </c>
      <c r="C68" s="213" t="s">
        <v>15</v>
      </c>
      <c r="D68" s="83">
        <v>183</v>
      </c>
      <c r="E68" s="280">
        <v>3443</v>
      </c>
      <c r="F68" s="280">
        <v>1000</v>
      </c>
      <c r="G68" s="191" t="s">
        <v>140</v>
      </c>
      <c r="H68" s="292">
        <v>2443</v>
      </c>
      <c r="I68" s="292">
        <v>0</v>
      </c>
      <c r="J68" s="292">
        <v>0</v>
      </c>
      <c r="K68" s="292">
        <v>0</v>
      </c>
      <c r="L68" s="292">
        <v>2443</v>
      </c>
    </row>
    <row r="69" spans="1:12" x14ac:dyDescent="0.25">
      <c r="A69" s="83" t="s">
        <v>46</v>
      </c>
      <c r="B69" s="213" t="s">
        <v>75</v>
      </c>
      <c r="C69" s="213" t="s">
        <v>16</v>
      </c>
      <c r="D69" s="83">
        <v>192</v>
      </c>
      <c r="E69" s="280">
        <v>4921</v>
      </c>
      <c r="F69" s="280">
        <v>1000</v>
      </c>
      <c r="G69" s="191" t="s">
        <v>140</v>
      </c>
      <c r="H69" s="292">
        <v>3921</v>
      </c>
      <c r="I69" s="292">
        <v>0</v>
      </c>
      <c r="J69" s="292">
        <v>0</v>
      </c>
      <c r="K69" s="292">
        <v>0</v>
      </c>
      <c r="L69" s="292">
        <v>3921</v>
      </c>
    </row>
    <row r="70" spans="1:12" ht="30.75" x14ac:dyDescent="0.25">
      <c r="A70" s="83" t="s">
        <v>46</v>
      </c>
      <c r="B70" s="213" t="s">
        <v>76</v>
      </c>
      <c r="C70" s="213" t="s">
        <v>17</v>
      </c>
      <c r="D70" s="83">
        <v>297</v>
      </c>
      <c r="E70" s="280">
        <v>600494</v>
      </c>
      <c r="F70" s="280">
        <v>1000</v>
      </c>
      <c r="G70" s="191" t="s">
        <v>140</v>
      </c>
      <c r="H70" s="292">
        <v>599494</v>
      </c>
      <c r="I70" s="292">
        <v>0</v>
      </c>
      <c r="J70" s="292">
        <v>0</v>
      </c>
      <c r="K70" s="292">
        <v>0</v>
      </c>
      <c r="L70" s="292">
        <v>599494</v>
      </c>
    </row>
    <row r="71" spans="1:12" x14ac:dyDescent="0.25">
      <c r="A71" s="83" t="s">
        <v>46</v>
      </c>
      <c r="B71" s="213" t="s">
        <v>77</v>
      </c>
      <c r="C71" s="213" t="s">
        <v>18</v>
      </c>
      <c r="D71" s="83">
        <v>166</v>
      </c>
      <c r="E71" s="280">
        <v>47272</v>
      </c>
      <c r="F71" s="280">
        <v>1000</v>
      </c>
      <c r="G71" s="191" t="s">
        <v>140</v>
      </c>
      <c r="H71" s="292">
        <v>46272</v>
      </c>
      <c r="I71" s="292">
        <v>0</v>
      </c>
      <c r="J71" s="292">
        <v>0</v>
      </c>
      <c r="K71" s="292">
        <v>0</v>
      </c>
      <c r="L71" s="292">
        <v>46272</v>
      </c>
    </row>
    <row r="72" spans="1:12" x14ac:dyDescent="0.25">
      <c r="A72" s="83" t="s">
        <v>46</v>
      </c>
      <c r="B72" s="213" t="s">
        <v>80</v>
      </c>
      <c r="C72" s="213" t="s">
        <v>21</v>
      </c>
      <c r="D72" s="83">
        <v>32</v>
      </c>
      <c r="E72" s="280">
        <v>7722</v>
      </c>
      <c r="F72" s="280">
        <v>1000</v>
      </c>
      <c r="G72" s="191" t="s">
        <v>140</v>
      </c>
      <c r="H72" s="292">
        <v>6722</v>
      </c>
      <c r="I72" s="292">
        <v>0</v>
      </c>
      <c r="J72" s="292">
        <v>0</v>
      </c>
      <c r="K72" s="292">
        <v>0</v>
      </c>
      <c r="L72" s="292">
        <v>6722</v>
      </c>
    </row>
    <row r="73" spans="1:12" ht="30.75" x14ac:dyDescent="0.25">
      <c r="A73" s="83" t="s">
        <v>46</v>
      </c>
      <c r="B73" s="213" t="s">
        <v>78</v>
      </c>
      <c r="C73" s="213" t="s">
        <v>19</v>
      </c>
      <c r="D73" s="83">
        <v>368</v>
      </c>
      <c r="E73" s="280">
        <v>11813</v>
      </c>
      <c r="F73" s="280">
        <v>1000</v>
      </c>
      <c r="G73" s="191" t="s">
        <v>140</v>
      </c>
      <c r="H73" s="292">
        <v>10813</v>
      </c>
      <c r="I73" s="292">
        <v>0</v>
      </c>
      <c r="J73" s="292">
        <v>0</v>
      </c>
      <c r="K73" s="292">
        <v>0</v>
      </c>
      <c r="L73" s="292">
        <v>10813</v>
      </c>
    </row>
    <row r="74" spans="1:12" x14ac:dyDescent="0.25">
      <c r="A74" s="83" t="s">
        <v>46</v>
      </c>
      <c r="B74" s="213" t="s">
        <v>79</v>
      </c>
      <c r="C74" s="213" t="s">
        <v>20</v>
      </c>
      <c r="D74" s="83">
        <v>357</v>
      </c>
      <c r="E74" s="280">
        <v>6108</v>
      </c>
      <c r="F74" s="280">
        <v>1000</v>
      </c>
      <c r="G74" s="191" t="s">
        <v>140</v>
      </c>
      <c r="H74" s="292">
        <v>5108</v>
      </c>
      <c r="I74" s="292">
        <v>0</v>
      </c>
      <c r="J74" s="292">
        <v>0</v>
      </c>
      <c r="K74" s="292">
        <v>0</v>
      </c>
      <c r="L74" s="292">
        <v>5108</v>
      </c>
    </row>
    <row r="75" spans="1:12" x14ac:dyDescent="0.25">
      <c r="A75" s="83" t="s">
        <v>46</v>
      </c>
      <c r="B75" s="213" t="s">
        <v>81</v>
      </c>
      <c r="C75" s="213" t="s">
        <v>22</v>
      </c>
      <c r="D75" s="83">
        <v>153</v>
      </c>
      <c r="E75" s="280">
        <v>8974</v>
      </c>
      <c r="F75" s="280">
        <v>1000</v>
      </c>
      <c r="G75" s="191" t="s">
        <v>140</v>
      </c>
      <c r="H75" s="292">
        <v>7974</v>
      </c>
      <c r="I75" s="292">
        <v>0</v>
      </c>
      <c r="J75" s="292">
        <v>0</v>
      </c>
      <c r="K75" s="292">
        <v>0</v>
      </c>
      <c r="L75" s="292">
        <v>7974</v>
      </c>
    </row>
    <row r="76" spans="1:12" x14ac:dyDescent="0.25">
      <c r="A76" s="83" t="s">
        <v>46</v>
      </c>
      <c r="B76" s="213" t="s">
        <v>83</v>
      </c>
      <c r="C76" s="213" t="s">
        <v>17</v>
      </c>
      <c r="D76" s="83">
        <v>48</v>
      </c>
      <c r="E76" s="280">
        <v>74680</v>
      </c>
      <c r="F76" s="280">
        <v>1000</v>
      </c>
      <c r="G76" s="191" t="s">
        <v>140</v>
      </c>
      <c r="H76" s="292">
        <v>73680</v>
      </c>
      <c r="I76" s="292">
        <v>0</v>
      </c>
      <c r="J76" s="292">
        <v>0</v>
      </c>
      <c r="K76" s="292">
        <v>0</v>
      </c>
      <c r="L76" s="292">
        <v>73680</v>
      </c>
    </row>
    <row r="77" spans="1:12" x14ac:dyDescent="0.25">
      <c r="A77" s="83" t="s">
        <v>46</v>
      </c>
      <c r="B77" s="213" t="s">
        <v>84</v>
      </c>
      <c r="C77" s="213" t="s">
        <v>24</v>
      </c>
      <c r="D77" s="83">
        <v>350</v>
      </c>
      <c r="E77" s="280">
        <v>2007</v>
      </c>
      <c r="F77" s="280">
        <v>1000</v>
      </c>
      <c r="G77" s="191" t="s">
        <v>140</v>
      </c>
      <c r="H77" s="292">
        <v>1007</v>
      </c>
      <c r="I77" s="292">
        <v>0</v>
      </c>
      <c r="J77" s="292">
        <v>0</v>
      </c>
      <c r="K77" s="292">
        <v>0</v>
      </c>
      <c r="L77" s="292">
        <v>1007</v>
      </c>
    </row>
    <row r="78" spans="1:12" ht="30.75" x14ac:dyDescent="0.25">
      <c r="A78" s="83" t="s">
        <v>46</v>
      </c>
      <c r="B78" s="213" t="s">
        <v>450</v>
      </c>
      <c r="C78" s="213" t="s">
        <v>451</v>
      </c>
      <c r="D78" s="83">
        <v>374</v>
      </c>
      <c r="E78" s="280">
        <v>310292</v>
      </c>
      <c r="F78" s="280">
        <v>1000</v>
      </c>
      <c r="G78" s="191" t="s">
        <v>140</v>
      </c>
      <c r="H78" s="292">
        <v>309292</v>
      </c>
      <c r="I78" s="292">
        <v>0</v>
      </c>
      <c r="J78" s="292">
        <v>0</v>
      </c>
      <c r="K78" s="292">
        <v>0</v>
      </c>
      <c r="L78" s="292">
        <v>309292</v>
      </c>
    </row>
    <row r="79" spans="1:12" ht="15.75" customHeight="1" x14ac:dyDescent="0.25">
      <c r="A79" s="83" t="s">
        <v>46</v>
      </c>
      <c r="B79" s="213" t="s">
        <v>85</v>
      </c>
      <c r="C79" s="213" t="s">
        <v>26</v>
      </c>
      <c r="D79" s="83">
        <v>171</v>
      </c>
      <c r="E79" s="280">
        <v>11486</v>
      </c>
      <c r="F79" s="280">
        <v>1000</v>
      </c>
      <c r="G79" s="191" t="s">
        <v>140</v>
      </c>
      <c r="H79" s="292">
        <v>10486</v>
      </c>
      <c r="I79" s="292">
        <v>0</v>
      </c>
      <c r="J79" s="292">
        <v>0</v>
      </c>
      <c r="K79" s="292">
        <v>0</v>
      </c>
      <c r="L79" s="292">
        <v>10486</v>
      </c>
    </row>
    <row r="80" spans="1:12" ht="30.75" x14ac:dyDescent="0.25">
      <c r="A80" s="83" t="s">
        <v>46</v>
      </c>
      <c r="B80" s="213" t="s">
        <v>86</v>
      </c>
      <c r="C80" s="213" t="s">
        <v>25</v>
      </c>
      <c r="D80" s="83">
        <v>258</v>
      </c>
      <c r="E80" s="280">
        <v>27399</v>
      </c>
      <c r="F80" s="280">
        <v>1000</v>
      </c>
      <c r="G80" s="191" t="s">
        <v>140</v>
      </c>
      <c r="H80" s="292">
        <v>26399</v>
      </c>
      <c r="I80" s="292">
        <v>0</v>
      </c>
      <c r="J80" s="292">
        <v>0</v>
      </c>
      <c r="K80" s="292">
        <v>0</v>
      </c>
      <c r="L80" s="292">
        <v>26399</v>
      </c>
    </row>
    <row r="81" spans="1:12" x14ac:dyDescent="0.25">
      <c r="A81" s="83" t="s">
        <v>46</v>
      </c>
      <c r="B81" s="213" t="s">
        <v>87</v>
      </c>
      <c r="C81" s="213" t="s">
        <v>17</v>
      </c>
      <c r="D81" s="83">
        <v>260</v>
      </c>
      <c r="E81" s="280">
        <v>78666</v>
      </c>
      <c r="F81" s="280">
        <v>1000</v>
      </c>
      <c r="G81" s="191" t="s">
        <v>140</v>
      </c>
      <c r="H81" s="292">
        <v>77666</v>
      </c>
      <c r="I81" s="292">
        <v>0</v>
      </c>
      <c r="J81" s="292">
        <v>0</v>
      </c>
      <c r="K81" s="292">
        <v>0</v>
      </c>
      <c r="L81" s="292">
        <v>77666</v>
      </c>
    </row>
    <row r="82" spans="1:12" ht="30.75" customHeight="1" x14ac:dyDescent="0.25">
      <c r="A82" s="83" t="s">
        <v>46</v>
      </c>
      <c r="B82" s="213" t="s">
        <v>88</v>
      </c>
      <c r="C82" s="213" t="s">
        <v>27</v>
      </c>
      <c r="D82" s="83">
        <v>367</v>
      </c>
      <c r="E82" s="280">
        <v>114612</v>
      </c>
      <c r="F82" s="280">
        <v>1000</v>
      </c>
      <c r="G82" s="191" t="s">
        <v>140</v>
      </c>
      <c r="H82" s="292">
        <v>113612</v>
      </c>
      <c r="I82" s="292">
        <v>0</v>
      </c>
      <c r="J82" s="292">
        <v>0</v>
      </c>
      <c r="K82" s="292">
        <v>0</v>
      </c>
      <c r="L82" s="292">
        <v>113612</v>
      </c>
    </row>
    <row r="83" spans="1:12" ht="15" customHeight="1" x14ac:dyDescent="0.25">
      <c r="A83" s="83" t="s">
        <v>46</v>
      </c>
      <c r="B83" s="213" t="s">
        <v>89</v>
      </c>
      <c r="C83" s="213" t="s">
        <v>28</v>
      </c>
      <c r="D83" s="83">
        <v>351</v>
      </c>
      <c r="E83" s="280">
        <v>1447</v>
      </c>
      <c r="F83" s="280">
        <v>1000</v>
      </c>
      <c r="G83" s="191" t="s">
        <v>140</v>
      </c>
      <c r="H83" s="292">
        <v>447</v>
      </c>
      <c r="I83" s="292">
        <v>0</v>
      </c>
      <c r="J83" s="292">
        <v>0</v>
      </c>
      <c r="K83" s="292">
        <v>0</v>
      </c>
      <c r="L83" s="292">
        <v>447</v>
      </c>
    </row>
    <row r="84" spans="1:12" ht="15.75" customHeight="1" x14ac:dyDescent="0.25">
      <c r="A84" s="202" t="s">
        <v>311</v>
      </c>
      <c r="B84" s="218" t="s">
        <v>140</v>
      </c>
      <c r="C84" s="218" t="s">
        <v>140</v>
      </c>
      <c r="D84" s="218" t="s">
        <v>140</v>
      </c>
      <c r="E84" s="244">
        <f>SUBTOTAL(109,school201920[Program
Costs])</f>
        <v>1493855</v>
      </c>
      <c r="F84" s="244">
        <f>SUBTOTAL(109,school201920[Less: Net Payments and Offsets2])</f>
        <v>26000</v>
      </c>
      <c r="G84" s="218" t="s">
        <v>140</v>
      </c>
      <c r="H84" s="244">
        <f>SUBTOTAL(109,school201920[Accounts Payable
Balance])</f>
        <v>1467855</v>
      </c>
      <c r="I84" s="244">
        <f>SUBTOTAL(109,school201920[Established
Accounts Receivable])</f>
        <v>0</v>
      </c>
      <c r="J84" s="244">
        <f>SUBTOTAL(109,school201920[Less: Recovered Amount])</f>
        <v>0</v>
      </c>
      <c r="K84" s="244">
        <f>SUBTOTAL(109,school201920[Accounts Receivable
Balance])</f>
        <v>0</v>
      </c>
      <c r="L84" s="244">
        <f>SUBTOTAL(109,school201920[Net
Balance])</f>
        <v>1467855</v>
      </c>
    </row>
    <row r="85" spans="1:12" x14ac:dyDescent="0.25">
      <c r="A85" s="195" t="s">
        <v>141</v>
      </c>
      <c r="B85" s="142"/>
      <c r="C85" s="142"/>
      <c r="D85" s="142"/>
      <c r="E85" s="26"/>
      <c r="F85" s="26"/>
      <c r="G85" s="196"/>
      <c r="H85" s="26"/>
      <c r="I85" s="26"/>
      <c r="J85" s="26"/>
      <c r="K85" s="26"/>
      <c r="L85" s="26"/>
    </row>
    <row r="86" spans="1:12" ht="50.1" customHeight="1" x14ac:dyDescent="0.25">
      <c r="A86" s="10" t="s">
        <v>5</v>
      </c>
      <c r="B86" s="10" t="s">
        <v>6</v>
      </c>
      <c r="C86" s="10" t="s">
        <v>0</v>
      </c>
      <c r="D86" s="10" t="s">
        <v>441</v>
      </c>
      <c r="E86" s="215" t="s">
        <v>234</v>
      </c>
      <c r="F86" s="216" t="s">
        <v>452</v>
      </c>
      <c r="G86" s="217" t="s">
        <v>142</v>
      </c>
      <c r="H86" s="215" t="s">
        <v>444</v>
      </c>
      <c r="I86" s="215" t="s">
        <v>445</v>
      </c>
      <c r="J86" s="215" t="s">
        <v>446</v>
      </c>
      <c r="K86" s="215" t="s">
        <v>447</v>
      </c>
      <c r="L86" s="215" t="s">
        <v>305</v>
      </c>
    </row>
    <row r="87" spans="1:12" ht="30.75" x14ac:dyDescent="0.25">
      <c r="A87" s="83" t="s">
        <v>2</v>
      </c>
      <c r="B87" s="213" t="s">
        <v>66</v>
      </c>
      <c r="C87" s="213" t="s">
        <v>7</v>
      </c>
      <c r="D87" s="83">
        <v>250</v>
      </c>
      <c r="E87" s="280">
        <v>15908</v>
      </c>
      <c r="F87" s="280">
        <v>1000</v>
      </c>
      <c r="G87" s="191" t="s">
        <v>140</v>
      </c>
      <c r="H87" s="292">
        <v>14908</v>
      </c>
      <c r="I87" s="292">
        <v>0</v>
      </c>
      <c r="J87" s="292">
        <v>0</v>
      </c>
      <c r="K87" s="292">
        <v>0</v>
      </c>
      <c r="L87" s="292">
        <v>14908</v>
      </c>
    </row>
    <row r="88" spans="1:12" ht="30.75" x14ac:dyDescent="0.25">
      <c r="A88" s="83" t="s">
        <v>2</v>
      </c>
      <c r="B88" s="213" t="s">
        <v>453</v>
      </c>
      <c r="C88" s="213" t="s">
        <v>454</v>
      </c>
      <c r="D88" s="83">
        <v>370</v>
      </c>
      <c r="E88" s="280">
        <v>49754</v>
      </c>
      <c r="F88" s="280">
        <v>1000</v>
      </c>
      <c r="G88" s="191" t="s">
        <v>140</v>
      </c>
      <c r="H88" s="292">
        <v>48754</v>
      </c>
      <c r="I88" s="292">
        <v>0</v>
      </c>
      <c r="J88" s="292">
        <v>0</v>
      </c>
      <c r="K88" s="292">
        <v>0</v>
      </c>
      <c r="L88" s="292">
        <v>48754</v>
      </c>
    </row>
    <row r="89" spans="1:12" ht="30.75" customHeight="1" x14ac:dyDescent="0.25">
      <c r="A89" s="83" t="s">
        <v>2</v>
      </c>
      <c r="B89" s="213" t="s">
        <v>68</v>
      </c>
      <c r="C89" s="213" t="s">
        <v>9</v>
      </c>
      <c r="D89" s="83">
        <v>369</v>
      </c>
      <c r="E89" s="280">
        <v>73358</v>
      </c>
      <c r="F89" s="280">
        <v>1000</v>
      </c>
      <c r="G89" s="191" t="s">
        <v>140</v>
      </c>
      <c r="H89" s="292">
        <v>72358</v>
      </c>
      <c r="I89" s="292">
        <v>0</v>
      </c>
      <c r="J89" s="292">
        <v>0</v>
      </c>
      <c r="K89" s="292">
        <v>0</v>
      </c>
      <c r="L89" s="292">
        <v>72358</v>
      </c>
    </row>
    <row r="90" spans="1:12" ht="30.75" customHeight="1" x14ac:dyDescent="0.25">
      <c r="A90" s="83" t="s">
        <v>2</v>
      </c>
      <c r="B90" s="213" t="s">
        <v>69</v>
      </c>
      <c r="C90" s="213" t="s">
        <v>10</v>
      </c>
      <c r="D90" s="83">
        <v>172</v>
      </c>
      <c r="E90" s="280">
        <v>2715</v>
      </c>
      <c r="F90" s="280">
        <v>1000</v>
      </c>
      <c r="G90" s="191" t="s">
        <v>140</v>
      </c>
      <c r="H90" s="292">
        <v>1715</v>
      </c>
      <c r="I90" s="292">
        <v>0</v>
      </c>
      <c r="J90" s="292">
        <v>0</v>
      </c>
      <c r="K90" s="292">
        <v>0</v>
      </c>
      <c r="L90" s="292">
        <v>1715</v>
      </c>
    </row>
    <row r="91" spans="1:12" ht="30.75" customHeight="1" x14ac:dyDescent="0.25">
      <c r="A91" s="83" t="s">
        <v>2</v>
      </c>
      <c r="B91" s="213" t="s">
        <v>72</v>
      </c>
      <c r="C91" s="213" t="s">
        <v>13</v>
      </c>
      <c r="D91" s="83">
        <v>11</v>
      </c>
      <c r="E91" s="280">
        <v>136002</v>
      </c>
      <c r="F91" s="280">
        <v>1000</v>
      </c>
      <c r="G91" s="191" t="s">
        <v>140</v>
      </c>
      <c r="H91" s="292">
        <v>135002</v>
      </c>
      <c r="I91" s="292">
        <v>0</v>
      </c>
      <c r="J91" s="292">
        <v>0</v>
      </c>
      <c r="K91" s="292">
        <v>0</v>
      </c>
      <c r="L91" s="292">
        <v>135002</v>
      </c>
    </row>
    <row r="92" spans="1:12" ht="15.75" customHeight="1" x14ac:dyDescent="0.25">
      <c r="A92" s="83" t="s">
        <v>2</v>
      </c>
      <c r="B92" s="213" t="s">
        <v>73</v>
      </c>
      <c r="C92" s="213" t="s">
        <v>14</v>
      </c>
      <c r="D92" s="83">
        <v>313</v>
      </c>
      <c r="E92" s="280">
        <v>27892</v>
      </c>
      <c r="F92" s="280">
        <v>1000</v>
      </c>
      <c r="G92" s="191" t="s">
        <v>140</v>
      </c>
      <c r="H92" s="292">
        <v>26892</v>
      </c>
      <c r="I92" s="292">
        <v>0</v>
      </c>
      <c r="J92" s="292">
        <v>0</v>
      </c>
      <c r="K92" s="292">
        <v>0</v>
      </c>
      <c r="L92" s="292">
        <v>26892</v>
      </c>
    </row>
    <row r="93" spans="1:12" ht="30.75" customHeight="1" x14ac:dyDescent="0.25">
      <c r="A93" s="83" t="s">
        <v>2</v>
      </c>
      <c r="B93" s="213" t="s">
        <v>70</v>
      </c>
      <c r="C93" s="213" t="s">
        <v>11</v>
      </c>
      <c r="D93" s="83">
        <v>330</v>
      </c>
      <c r="E93" s="280">
        <v>36306</v>
      </c>
      <c r="F93" s="280">
        <v>1000</v>
      </c>
      <c r="G93" s="191" t="s">
        <v>140</v>
      </c>
      <c r="H93" s="292">
        <v>35306</v>
      </c>
      <c r="I93" s="292">
        <v>0</v>
      </c>
      <c r="J93" s="292">
        <v>0</v>
      </c>
      <c r="K93" s="292">
        <v>0</v>
      </c>
      <c r="L93" s="292">
        <v>35306</v>
      </c>
    </row>
    <row r="94" spans="1:12" ht="45.75" customHeight="1" x14ac:dyDescent="0.25">
      <c r="A94" s="83" t="s">
        <v>2</v>
      </c>
      <c r="B94" s="213" t="s">
        <v>67</v>
      </c>
      <c r="C94" s="213" t="s">
        <v>8</v>
      </c>
      <c r="D94" s="83">
        <v>272</v>
      </c>
      <c r="E94" s="280">
        <v>24722</v>
      </c>
      <c r="F94" s="280">
        <v>1000</v>
      </c>
      <c r="G94" s="191" t="s">
        <v>140</v>
      </c>
      <c r="H94" s="292">
        <v>23722</v>
      </c>
      <c r="I94" s="292">
        <v>0</v>
      </c>
      <c r="J94" s="292">
        <v>0</v>
      </c>
      <c r="K94" s="292">
        <v>0</v>
      </c>
      <c r="L94" s="292">
        <v>23722</v>
      </c>
    </row>
    <row r="95" spans="1:12" ht="45.75" customHeight="1" x14ac:dyDescent="0.25">
      <c r="A95" s="83" t="s">
        <v>2</v>
      </c>
      <c r="B95" s="213" t="s">
        <v>82</v>
      </c>
      <c r="C95" s="213" t="s">
        <v>23</v>
      </c>
      <c r="D95" s="83">
        <v>276</v>
      </c>
      <c r="E95" s="280">
        <v>3169</v>
      </c>
      <c r="F95" s="280">
        <v>1000</v>
      </c>
      <c r="G95" s="191" t="s">
        <v>140</v>
      </c>
      <c r="H95" s="292">
        <v>2169</v>
      </c>
      <c r="I95" s="292">
        <v>0</v>
      </c>
      <c r="J95" s="292">
        <v>0</v>
      </c>
      <c r="K95" s="292">
        <v>0</v>
      </c>
      <c r="L95" s="292">
        <v>2169</v>
      </c>
    </row>
    <row r="96" spans="1:12" ht="75.75" customHeight="1" x14ac:dyDescent="0.25">
      <c r="A96" s="83" t="s">
        <v>2</v>
      </c>
      <c r="B96" s="213" t="s">
        <v>448</v>
      </c>
      <c r="C96" s="213" t="s">
        <v>449</v>
      </c>
      <c r="D96" s="83">
        <v>292</v>
      </c>
      <c r="E96" s="280">
        <v>27368</v>
      </c>
      <c r="F96" s="280">
        <v>1000</v>
      </c>
      <c r="G96" s="191" t="s">
        <v>140</v>
      </c>
      <c r="H96" s="292">
        <v>26368</v>
      </c>
      <c r="I96" s="292">
        <v>0</v>
      </c>
      <c r="J96" s="292">
        <v>0</v>
      </c>
      <c r="K96" s="292">
        <v>0</v>
      </c>
      <c r="L96" s="292">
        <v>26368</v>
      </c>
    </row>
    <row r="97" spans="1:12" ht="30.75" x14ac:dyDescent="0.25">
      <c r="A97" s="83" t="s">
        <v>2</v>
      </c>
      <c r="B97" s="213" t="s">
        <v>71</v>
      </c>
      <c r="C97" s="213" t="s">
        <v>12</v>
      </c>
      <c r="D97" s="83">
        <v>209</v>
      </c>
      <c r="E97" s="280">
        <v>31923</v>
      </c>
      <c r="F97" s="280">
        <v>1000</v>
      </c>
      <c r="G97" s="191" t="s">
        <v>140</v>
      </c>
      <c r="H97" s="292">
        <v>30923</v>
      </c>
      <c r="I97" s="292">
        <v>0</v>
      </c>
      <c r="J97" s="292">
        <v>0</v>
      </c>
      <c r="K97" s="292">
        <v>0</v>
      </c>
      <c r="L97" s="292">
        <v>30923</v>
      </c>
    </row>
    <row r="98" spans="1:12" x14ac:dyDescent="0.25">
      <c r="A98" s="83" t="s">
        <v>2</v>
      </c>
      <c r="B98" s="213" t="s">
        <v>74</v>
      </c>
      <c r="C98" s="213" t="s">
        <v>15</v>
      </c>
      <c r="D98" s="83">
        <v>183</v>
      </c>
      <c r="E98" s="280">
        <v>7067</v>
      </c>
      <c r="F98" s="280">
        <v>1000</v>
      </c>
      <c r="G98" s="191" t="s">
        <v>140</v>
      </c>
      <c r="H98" s="292">
        <v>6067</v>
      </c>
      <c r="I98" s="292">
        <v>0</v>
      </c>
      <c r="J98" s="292">
        <v>0</v>
      </c>
      <c r="K98" s="292">
        <v>0</v>
      </c>
      <c r="L98" s="292">
        <v>6067</v>
      </c>
    </row>
    <row r="99" spans="1:12" x14ac:dyDescent="0.25">
      <c r="A99" s="83" t="s">
        <v>2</v>
      </c>
      <c r="B99" s="213" t="s">
        <v>455</v>
      </c>
      <c r="C99" s="213" t="s">
        <v>456</v>
      </c>
      <c r="D99" s="83">
        <v>251</v>
      </c>
      <c r="E99" s="280">
        <v>2048</v>
      </c>
      <c r="F99" s="280">
        <v>1000</v>
      </c>
      <c r="G99" s="191" t="s">
        <v>140</v>
      </c>
      <c r="H99" s="292">
        <v>1048</v>
      </c>
      <c r="I99" s="292">
        <v>0</v>
      </c>
      <c r="J99" s="292">
        <v>0</v>
      </c>
      <c r="K99" s="292">
        <v>0</v>
      </c>
      <c r="L99" s="292">
        <v>1048</v>
      </c>
    </row>
    <row r="100" spans="1:12" x14ac:dyDescent="0.25">
      <c r="A100" s="83" t="s">
        <v>2</v>
      </c>
      <c r="B100" s="213" t="s">
        <v>75</v>
      </c>
      <c r="C100" s="213" t="s">
        <v>16</v>
      </c>
      <c r="D100" s="83">
        <v>192</v>
      </c>
      <c r="E100" s="280">
        <v>5791</v>
      </c>
      <c r="F100" s="280">
        <v>1000</v>
      </c>
      <c r="G100" s="191" t="s">
        <v>140</v>
      </c>
      <c r="H100" s="292">
        <v>4791</v>
      </c>
      <c r="I100" s="292">
        <v>0</v>
      </c>
      <c r="J100" s="292">
        <v>0</v>
      </c>
      <c r="K100" s="292">
        <v>0</v>
      </c>
      <c r="L100" s="292">
        <v>4791</v>
      </c>
    </row>
    <row r="101" spans="1:12" ht="30.75" x14ac:dyDescent="0.25">
      <c r="A101" s="83" t="s">
        <v>2</v>
      </c>
      <c r="B101" s="213" t="s">
        <v>76</v>
      </c>
      <c r="C101" s="213" t="s">
        <v>17</v>
      </c>
      <c r="D101" s="83">
        <v>297</v>
      </c>
      <c r="E101" s="280">
        <v>672396</v>
      </c>
      <c r="F101" s="280">
        <v>1000</v>
      </c>
      <c r="G101" s="191" t="s">
        <v>140</v>
      </c>
      <c r="H101" s="292">
        <v>671396</v>
      </c>
      <c r="I101" s="292">
        <v>0</v>
      </c>
      <c r="J101" s="292">
        <v>0</v>
      </c>
      <c r="K101" s="292">
        <v>0</v>
      </c>
      <c r="L101" s="292">
        <v>671396</v>
      </c>
    </row>
    <row r="102" spans="1:12" x14ac:dyDescent="0.25">
      <c r="A102" s="83" t="s">
        <v>2</v>
      </c>
      <c r="B102" s="213" t="s">
        <v>77</v>
      </c>
      <c r="C102" s="213" t="s">
        <v>18</v>
      </c>
      <c r="D102" s="83">
        <v>166</v>
      </c>
      <c r="E102" s="280">
        <v>44363</v>
      </c>
      <c r="F102" s="280">
        <v>1000</v>
      </c>
      <c r="G102" s="191" t="s">
        <v>140</v>
      </c>
      <c r="H102" s="292">
        <v>43363</v>
      </c>
      <c r="I102" s="292">
        <v>0</v>
      </c>
      <c r="J102" s="292">
        <v>0</v>
      </c>
      <c r="K102" s="292">
        <v>0</v>
      </c>
      <c r="L102" s="292">
        <v>43363</v>
      </c>
    </row>
    <row r="103" spans="1:12" x14ac:dyDescent="0.25">
      <c r="A103" s="83" t="s">
        <v>2</v>
      </c>
      <c r="B103" s="213" t="s">
        <v>80</v>
      </c>
      <c r="C103" s="213" t="s">
        <v>21</v>
      </c>
      <c r="D103" s="83">
        <v>32</v>
      </c>
      <c r="E103" s="280">
        <v>9295</v>
      </c>
      <c r="F103" s="280">
        <v>1000</v>
      </c>
      <c r="G103" s="191" t="s">
        <v>140</v>
      </c>
      <c r="H103" s="292">
        <v>8295</v>
      </c>
      <c r="I103" s="292">
        <v>0</v>
      </c>
      <c r="J103" s="292">
        <v>0</v>
      </c>
      <c r="K103" s="292">
        <v>0</v>
      </c>
      <c r="L103" s="292">
        <v>8295</v>
      </c>
    </row>
    <row r="104" spans="1:12" ht="30.75" x14ac:dyDescent="0.25">
      <c r="A104" s="83" t="s">
        <v>2</v>
      </c>
      <c r="B104" s="213" t="s">
        <v>78</v>
      </c>
      <c r="C104" s="213" t="s">
        <v>19</v>
      </c>
      <c r="D104" s="83">
        <v>368</v>
      </c>
      <c r="E104" s="280">
        <v>13387</v>
      </c>
      <c r="F104" s="280">
        <v>1000</v>
      </c>
      <c r="G104" s="191" t="s">
        <v>140</v>
      </c>
      <c r="H104" s="292">
        <v>12387</v>
      </c>
      <c r="I104" s="292">
        <v>0</v>
      </c>
      <c r="J104" s="292">
        <v>0</v>
      </c>
      <c r="K104" s="292">
        <v>0</v>
      </c>
      <c r="L104" s="292">
        <v>12387</v>
      </c>
    </row>
    <row r="105" spans="1:12" x14ac:dyDescent="0.25">
      <c r="A105" s="83" t="s">
        <v>2</v>
      </c>
      <c r="B105" s="213" t="s">
        <v>79</v>
      </c>
      <c r="C105" s="213" t="s">
        <v>20</v>
      </c>
      <c r="D105" s="83">
        <v>357</v>
      </c>
      <c r="E105" s="280">
        <v>4676</v>
      </c>
      <c r="F105" s="280">
        <v>1000</v>
      </c>
      <c r="G105" s="191" t="s">
        <v>140</v>
      </c>
      <c r="H105" s="292">
        <v>3676</v>
      </c>
      <c r="I105" s="292">
        <v>0</v>
      </c>
      <c r="J105" s="292">
        <v>0</v>
      </c>
      <c r="K105" s="292">
        <v>0</v>
      </c>
      <c r="L105" s="292">
        <v>3676</v>
      </c>
    </row>
    <row r="106" spans="1:12" x14ac:dyDescent="0.25">
      <c r="A106" s="83" t="s">
        <v>2</v>
      </c>
      <c r="B106" s="213" t="s">
        <v>81</v>
      </c>
      <c r="C106" s="213" t="s">
        <v>22</v>
      </c>
      <c r="D106" s="83">
        <v>153</v>
      </c>
      <c r="E106" s="280">
        <v>8800</v>
      </c>
      <c r="F106" s="280">
        <v>1000</v>
      </c>
      <c r="G106" s="191" t="s">
        <v>140</v>
      </c>
      <c r="H106" s="292">
        <v>7800</v>
      </c>
      <c r="I106" s="292">
        <v>0</v>
      </c>
      <c r="J106" s="292">
        <v>0</v>
      </c>
      <c r="K106" s="292">
        <v>0</v>
      </c>
      <c r="L106" s="292">
        <v>7800</v>
      </c>
    </row>
    <row r="107" spans="1:12" x14ac:dyDescent="0.25">
      <c r="A107" s="83" t="s">
        <v>2</v>
      </c>
      <c r="B107" s="213" t="s">
        <v>457</v>
      </c>
      <c r="C107" s="213" t="s">
        <v>458</v>
      </c>
      <c r="D107" s="83">
        <v>155</v>
      </c>
      <c r="E107" s="280">
        <v>2350</v>
      </c>
      <c r="F107" s="280">
        <v>1000</v>
      </c>
      <c r="G107" s="191" t="s">
        <v>140</v>
      </c>
      <c r="H107" s="292">
        <v>1350</v>
      </c>
      <c r="I107" s="292">
        <v>0</v>
      </c>
      <c r="J107" s="292">
        <v>0</v>
      </c>
      <c r="K107" s="292">
        <v>0</v>
      </c>
      <c r="L107" s="292">
        <v>1350</v>
      </c>
    </row>
    <row r="108" spans="1:12" x14ac:dyDescent="0.25">
      <c r="A108" s="83" t="s">
        <v>2</v>
      </c>
      <c r="B108" s="213" t="s">
        <v>83</v>
      </c>
      <c r="C108" s="213" t="s">
        <v>17</v>
      </c>
      <c r="D108" s="83">
        <v>48</v>
      </c>
      <c r="E108" s="280">
        <v>114153</v>
      </c>
      <c r="F108" s="280">
        <v>1000</v>
      </c>
      <c r="G108" s="191" t="s">
        <v>140</v>
      </c>
      <c r="H108" s="292">
        <v>113153</v>
      </c>
      <c r="I108" s="292">
        <v>0</v>
      </c>
      <c r="J108" s="292">
        <v>0</v>
      </c>
      <c r="K108" s="292">
        <v>0</v>
      </c>
      <c r="L108" s="292">
        <v>113153</v>
      </c>
    </row>
    <row r="109" spans="1:12" x14ac:dyDescent="0.25">
      <c r="A109" s="83" t="s">
        <v>2</v>
      </c>
      <c r="B109" s="213" t="s">
        <v>84</v>
      </c>
      <c r="C109" s="213" t="s">
        <v>24</v>
      </c>
      <c r="D109" s="83">
        <v>350</v>
      </c>
      <c r="E109" s="280">
        <v>3858</v>
      </c>
      <c r="F109" s="280">
        <v>1000</v>
      </c>
      <c r="G109" s="191" t="s">
        <v>140</v>
      </c>
      <c r="H109" s="292">
        <v>2858</v>
      </c>
      <c r="I109" s="292">
        <v>0</v>
      </c>
      <c r="J109" s="292">
        <v>0</v>
      </c>
      <c r="K109" s="292">
        <v>0</v>
      </c>
      <c r="L109" s="292">
        <v>2858</v>
      </c>
    </row>
    <row r="110" spans="1:12" x14ac:dyDescent="0.25">
      <c r="A110" s="83" t="s">
        <v>2</v>
      </c>
      <c r="B110" s="213" t="s">
        <v>459</v>
      </c>
      <c r="C110" s="213" t="s">
        <v>460</v>
      </c>
      <c r="D110" s="83">
        <v>173</v>
      </c>
      <c r="E110" s="280">
        <v>7912</v>
      </c>
      <c r="F110" s="280">
        <v>1000</v>
      </c>
      <c r="G110" s="191" t="s">
        <v>140</v>
      </c>
      <c r="H110" s="292">
        <v>6912</v>
      </c>
      <c r="I110" s="292">
        <v>0</v>
      </c>
      <c r="J110" s="292">
        <v>0</v>
      </c>
      <c r="K110" s="292">
        <v>0</v>
      </c>
      <c r="L110" s="292">
        <v>6912</v>
      </c>
    </row>
    <row r="111" spans="1:12" ht="30.75" x14ac:dyDescent="0.25">
      <c r="A111" s="83" t="s">
        <v>2</v>
      </c>
      <c r="B111" s="213" t="s">
        <v>450</v>
      </c>
      <c r="C111" s="213" t="s">
        <v>451</v>
      </c>
      <c r="D111" s="83">
        <v>374</v>
      </c>
      <c r="E111" s="280">
        <v>715194</v>
      </c>
      <c r="F111" s="280">
        <v>0</v>
      </c>
      <c r="G111" s="191" t="s">
        <v>140</v>
      </c>
      <c r="H111" s="292">
        <v>715194</v>
      </c>
      <c r="I111" s="292">
        <v>0</v>
      </c>
      <c r="J111" s="292">
        <v>0</v>
      </c>
      <c r="K111" s="292">
        <v>0</v>
      </c>
      <c r="L111" s="292">
        <v>715194</v>
      </c>
    </row>
    <row r="112" spans="1:12" x14ac:dyDescent="0.25">
      <c r="A112" s="83" t="s">
        <v>2</v>
      </c>
      <c r="B112" s="213" t="s">
        <v>461</v>
      </c>
      <c r="C112" s="213" t="s">
        <v>25</v>
      </c>
      <c r="D112" s="83">
        <v>244</v>
      </c>
      <c r="E112" s="280">
        <v>3097</v>
      </c>
      <c r="F112" s="280">
        <v>1000</v>
      </c>
      <c r="G112" s="191" t="s">
        <v>140</v>
      </c>
      <c r="H112" s="292">
        <v>2097</v>
      </c>
      <c r="I112" s="292">
        <v>0</v>
      </c>
      <c r="J112" s="292">
        <v>0</v>
      </c>
      <c r="K112" s="292">
        <v>0</v>
      </c>
      <c r="L112" s="292">
        <v>2097</v>
      </c>
    </row>
    <row r="113" spans="1:12" ht="15.75" customHeight="1" x14ac:dyDescent="0.25">
      <c r="A113" s="83" t="s">
        <v>2</v>
      </c>
      <c r="B113" s="213" t="s">
        <v>85</v>
      </c>
      <c r="C113" s="213" t="s">
        <v>26</v>
      </c>
      <c r="D113" s="83">
        <v>171</v>
      </c>
      <c r="E113" s="280">
        <v>15251</v>
      </c>
      <c r="F113" s="280">
        <v>1000</v>
      </c>
      <c r="G113" s="191" t="s">
        <v>140</v>
      </c>
      <c r="H113" s="292">
        <v>14251</v>
      </c>
      <c r="I113" s="292">
        <v>0</v>
      </c>
      <c r="J113" s="292">
        <v>0</v>
      </c>
      <c r="K113" s="292">
        <v>0</v>
      </c>
      <c r="L113" s="292">
        <v>14251</v>
      </c>
    </row>
    <row r="114" spans="1:12" ht="30.75" x14ac:dyDescent="0.25">
      <c r="A114" s="83" t="s">
        <v>2</v>
      </c>
      <c r="B114" s="213" t="s">
        <v>86</v>
      </c>
      <c r="C114" s="213" t="s">
        <v>25</v>
      </c>
      <c r="D114" s="83">
        <v>258</v>
      </c>
      <c r="E114" s="280">
        <v>53492</v>
      </c>
      <c r="F114" s="280">
        <v>1000</v>
      </c>
      <c r="G114" s="191" t="s">
        <v>140</v>
      </c>
      <c r="H114" s="292">
        <v>52492</v>
      </c>
      <c r="I114" s="292">
        <v>0</v>
      </c>
      <c r="J114" s="292">
        <v>0</v>
      </c>
      <c r="K114" s="292">
        <v>0</v>
      </c>
      <c r="L114" s="292">
        <v>52492</v>
      </c>
    </row>
    <row r="115" spans="1:12" x14ac:dyDescent="0.25">
      <c r="A115" s="83" t="s">
        <v>2</v>
      </c>
      <c r="B115" s="213" t="s">
        <v>87</v>
      </c>
      <c r="C115" s="213" t="s">
        <v>17</v>
      </c>
      <c r="D115" s="83">
        <v>260</v>
      </c>
      <c r="E115" s="280">
        <v>105162</v>
      </c>
      <c r="F115" s="280">
        <v>1000</v>
      </c>
      <c r="G115" s="191" t="s">
        <v>140</v>
      </c>
      <c r="H115" s="292">
        <v>104162</v>
      </c>
      <c r="I115" s="292">
        <v>0</v>
      </c>
      <c r="J115" s="292">
        <v>0</v>
      </c>
      <c r="K115" s="292">
        <v>0</v>
      </c>
      <c r="L115" s="292">
        <v>104162</v>
      </c>
    </row>
    <row r="116" spans="1:12" ht="15" customHeight="1" x14ac:dyDescent="0.25">
      <c r="A116" s="83" t="s">
        <v>2</v>
      </c>
      <c r="B116" s="213" t="s">
        <v>88</v>
      </c>
      <c r="C116" s="213" t="s">
        <v>27</v>
      </c>
      <c r="D116" s="83">
        <v>367</v>
      </c>
      <c r="E116" s="280">
        <v>92147</v>
      </c>
      <c r="F116" s="280">
        <v>1000</v>
      </c>
      <c r="G116" s="191" t="s">
        <v>140</v>
      </c>
      <c r="H116" s="292">
        <v>91147</v>
      </c>
      <c r="I116" s="292">
        <v>0</v>
      </c>
      <c r="J116" s="292">
        <v>0</v>
      </c>
      <c r="K116" s="292">
        <v>0</v>
      </c>
      <c r="L116" s="292">
        <v>91147</v>
      </c>
    </row>
    <row r="117" spans="1:12" ht="15" customHeight="1" x14ac:dyDescent="0.25">
      <c r="A117" s="83" t="s">
        <v>2</v>
      </c>
      <c r="B117" s="213" t="s">
        <v>462</v>
      </c>
      <c r="C117" s="213" t="s">
        <v>463</v>
      </c>
      <c r="D117" s="83">
        <v>346</v>
      </c>
      <c r="E117" s="280">
        <v>1195</v>
      </c>
      <c r="F117" s="280">
        <v>1000</v>
      </c>
      <c r="G117" s="191" t="s">
        <v>140</v>
      </c>
      <c r="H117" s="292">
        <v>195</v>
      </c>
      <c r="I117" s="292">
        <v>0</v>
      </c>
      <c r="J117" s="292">
        <v>0</v>
      </c>
      <c r="K117" s="292">
        <v>0</v>
      </c>
      <c r="L117" s="292">
        <v>195</v>
      </c>
    </row>
    <row r="118" spans="1:12" ht="15.75" customHeight="1" x14ac:dyDescent="0.25">
      <c r="A118" s="83" t="s">
        <v>2</v>
      </c>
      <c r="B118" s="213" t="s">
        <v>89</v>
      </c>
      <c r="C118" s="213" t="s">
        <v>28</v>
      </c>
      <c r="D118" s="83">
        <v>351</v>
      </c>
      <c r="E118" s="280">
        <v>10813</v>
      </c>
      <c r="F118" s="280">
        <v>1000</v>
      </c>
      <c r="G118" s="191" t="s">
        <v>140</v>
      </c>
      <c r="H118" s="292">
        <v>9813</v>
      </c>
      <c r="I118" s="292">
        <v>0</v>
      </c>
      <c r="J118" s="292">
        <v>0</v>
      </c>
      <c r="K118" s="292">
        <v>0</v>
      </c>
      <c r="L118" s="292">
        <v>9813</v>
      </c>
    </row>
    <row r="119" spans="1:12" ht="15.75" customHeight="1" x14ac:dyDescent="0.25">
      <c r="A119" s="202" t="s">
        <v>312</v>
      </c>
      <c r="B119" s="218" t="s">
        <v>140</v>
      </c>
      <c r="C119" s="218" t="s">
        <v>140</v>
      </c>
      <c r="D119" s="218" t="s">
        <v>140</v>
      </c>
      <c r="E119" s="244">
        <f>SUBTOTAL(109,school201819[Program
Costs])</f>
        <v>2321564</v>
      </c>
      <c r="F119" s="244">
        <f>SUBTOTAL(109,school201819[Less: Net Payments and Offsets2])</f>
        <v>31000</v>
      </c>
      <c r="G119" s="218" t="s">
        <v>140</v>
      </c>
      <c r="H119" s="244">
        <f>SUBTOTAL(109,school201819[Accounts Payable
Balance])</f>
        <v>2290564</v>
      </c>
      <c r="I119" s="244">
        <f>SUBTOTAL(109,school201819[Established
Accounts Receivable])</f>
        <v>0</v>
      </c>
      <c r="J119" s="244">
        <f>SUBTOTAL(109,school201819[Less: Recovered Amount])</f>
        <v>0</v>
      </c>
      <c r="K119" s="244">
        <f>SUBTOTAL(109,school201819[Accounts Receivable
Balance])</f>
        <v>0</v>
      </c>
      <c r="L119" s="244">
        <f>SUBTOTAL(109,school201819[Net
Balance])</f>
        <v>2290564</v>
      </c>
    </row>
    <row r="120" spans="1:12" x14ac:dyDescent="0.25">
      <c r="A120" s="195" t="s">
        <v>141</v>
      </c>
      <c r="B120" s="142"/>
      <c r="C120" s="142"/>
      <c r="D120" s="142"/>
      <c r="E120" s="26"/>
      <c r="F120" s="26"/>
      <c r="G120" s="196"/>
      <c r="H120" s="26"/>
      <c r="I120" s="26"/>
      <c r="J120" s="26"/>
      <c r="K120" s="26"/>
      <c r="L120" s="26"/>
    </row>
    <row r="121" spans="1:12" ht="50.1" customHeight="1" x14ac:dyDescent="0.25">
      <c r="A121" s="10" t="s">
        <v>5</v>
      </c>
      <c r="B121" s="10" t="s">
        <v>6</v>
      </c>
      <c r="C121" s="10" t="s">
        <v>0</v>
      </c>
      <c r="D121" s="10" t="s">
        <v>441</v>
      </c>
      <c r="E121" s="215" t="s">
        <v>234</v>
      </c>
      <c r="F121" s="216" t="s">
        <v>452</v>
      </c>
      <c r="G121" s="217" t="s">
        <v>142</v>
      </c>
      <c r="H121" s="215" t="s">
        <v>444</v>
      </c>
      <c r="I121" s="215" t="s">
        <v>445</v>
      </c>
      <c r="J121" s="215" t="s">
        <v>446</v>
      </c>
      <c r="K121" s="215" t="s">
        <v>447</v>
      </c>
      <c r="L121" s="215" t="s">
        <v>305</v>
      </c>
    </row>
    <row r="122" spans="1:12" ht="30.75" x14ac:dyDescent="0.25">
      <c r="A122" s="83" t="s">
        <v>3</v>
      </c>
      <c r="B122" s="213" t="s">
        <v>66</v>
      </c>
      <c r="C122" s="213" t="s">
        <v>7</v>
      </c>
      <c r="D122" s="83">
        <v>250</v>
      </c>
      <c r="E122" s="280">
        <v>14913</v>
      </c>
      <c r="F122" s="280">
        <v>1000</v>
      </c>
      <c r="G122" s="191" t="s">
        <v>140</v>
      </c>
      <c r="H122" s="292">
        <v>13913</v>
      </c>
      <c r="I122" s="292">
        <v>0</v>
      </c>
      <c r="J122" s="292">
        <v>0</v>
      </c>
      <c r="K122" s="292">
        <v>0</v>
      </c>
      <c r="L122" s="292">
        <v>13913</v>
      </c>
    </row>
    <row r="123" spans="1:12" ht="30.75" x14ac:dyDescent="0.25">
      <c r="A123" s="83" t="s">
        <v>3</v>
      </c>
      <c r="B123" s="213" t="s">
        <v>453</v>
      </c>
      <c r="C123" s="213" t="s">
        <v>454</v>
      </c>
      <c r="D123" s="83">
        <v>370</v>
      </c>
      <c r="E123" s="280">
        <v>206525</v>
      </c>
      <c r="F123" s="280">
        <v>12444</v>
      </c>
      <c r="G123" s="191" t="s">
        <v>140</v>
      </c>
      <c r="H123" s="292">
        <v>194081</v>
      </c>
      <c r="I123" s="292">
        <v>0</v>
      </c>
      <c r="J123" s="292">
        <v>0</v>
      </c>
      <c r="K123" s="292">
        <v>0</v>
      </c>
      <c r="L123" s="292">
        <v>194081</v>
      </c>
    </row>
    <row r="124" spans="1:12" ht="30.75" x14ac:dyDescent="0.25">
      <c r="A124" s="83" t="s">
        <v>3</v>
      </c>
      <c r="B124" s="213" t="s">
        <v>68</v>
      </c>
      <c r="C124" s="213" t="s">
        <v>9</v>
      </c>
      <c r="D124" s="83">
        <v>369</v>
      </c>
      <c r="E124" s="280">
        <v>89543</v>
      </c>
      <c r="F124" s="280">
        <v>1000</v>
      </c>
      <c r="G124" s="191" t="s">
        <v>140</v>
      </c>
      <c r="H124" s="292">
        <v>88543</v>
      </c>
      <c r="I124" s="292">
        <v>0</v>
      </c>
      <c r="J124" s="292">
        <v>0</v>
      </c>
      <c r="K124" s="292">
        <v>0</v>
      </c>
      <c r="L124" s="292">
        <v>88543</v>
      </c>
    </row>
    <row r="125" spans="1:12" ht="30.75" x14ac:dyDescent="0.25">
      <c r="A125" s="83" t="s">
        <v>3</v>
      </c>
      <c r="B125" s="213" t="s">
        <v>69</v>
      </c>
      <c r="C125" s="213" t="s">
        <v>10</v>
      </c>
      <c r="D125" s="83">
        <v>172</v>
      </c>
      <c r="E125" s="280">
        <v>2572</v>
      </c>
      <c r="F125" s="280">
        <v>1000</v>
      </c>
      <c r="G125" s="191" t="s">
        <v>140</v>
      </c>
      <c r="H125" s="292">
        <v>1572</v>
      </c>
      <c r="I125" s="292">
        <v>0</v>
      </c>
      <c r="J125" s="292">
        <v>0</v>
      </c>
      <c r="K125" s="292">
        <v>0</v>
      </c>
      <c r="L125" s="292">
        <v>1572</v>
      </c>
    </row>
    <row r="126" spans="1:12" x14ac:dyDescent="0.25">
      <c r="A126" s="83" t="s">
        <v>3</v>
      </c>
      <c r="B126" s="213" t="s">
        <v>464</v>
      </c>
      <c r="C126" s="213" t="s">
        <v>465</v>
      </c>
      <c r="D126" s="83">
        <v>278</v>
      </c>
      <c r="E126" s="280">
        <v>7603</v>
      </c>
      <c r="F126" s="280">
        <v>1000</v>
      </c>
      <c r="G126" s="191" t="s">
        <v>140</v>
      </c>
      <c r="H126" s="292">
        <v>6603</v>
      </c>
      <c r="I126" s="292">
        <v>0</v>
      </c>
      <c r="J126" s="292">
        <v>0</v>
      </c>
      <c r="K126" s="292">
        <v>0</v>
      </c>
      <c r="L126" s="292">
        <v>6603</v>
      </c>
    </row>
    <row r="127" spans="1:12" ht="30.75" x14ac:dyDescent="0.25">
      <c r="A127" s="83" t="s">
        <v>3</v>
      </c>
      <c r="B127" s="213" t="s">
        <v>72</v>
      </c>
      <c r="C127" s="213" t="s">
        <v>13</v>
      </c>
      <c r="D127" s="83">
        <v>11</v>
      </c>
      <c r="E127" s="280">
        <v>148676</v>
      </c>
      <c r="F127" s="280">
        <v>1000</v>
      </c>
      <c r="G127" s="191" t="s">
        <v>140</v>
      </c>
      <c r="H127" s="292">
        <v>147676</v>
      </c>
      <c r="I127" s="292">
        <v>0</v>
      </c>
      <c r="J127" s="292">
        <v>0</v>
      </c>
      <c r="K127" s="292">
        <v>0</v>
      </c>
      <c r="L127" s="292">
        <v>147676</v>
      </c>
    </row>
    <row r="128" spans="1:12" x14ac:dyDescent="0.25">
      <c r="A128" s="83" t="s">
        <v>3</v>
      </c>
      <c r="B128" s="213" t="s">
        <v>73</v>
      </c>
      <c r="C128" s="213" t="s">
        <v>14</v>
      </c>
      <c r="D128" s="83">
        <v>313</v>
      </c>
      <c r="E128" s="280">
        <v>49479</v>
      </c>
      <c r="F128" s="280">
        <v>1000</v>
      </c>
      <c r="G128" s="191" t="s">
        <v>140</v>
      </c>
      <c r="H128" s="292">
        <v>48479</v>
      </c>
      <c r="I128" s="292">
        <v>0</v>
      </c>
      <c r="J128" s="292">
        <v>0</v>
      </c>
      <c r="K128" s="292">
        <v>0</v>
      </c>
      <c r="L128" s="292">
        <v>48479</v>
      </c>
    </row>
    <row r="129" spans="1:12" ht="30.75" x14ac:dyDescent="0.25">
      <c r="A129" s="83" t="s">
        <v>3</v>
      </c>
      <c r="B129" s="213" t="s">
        <v>70</v>
      </c>
      <c r="C129" s="213" t="s">
        <v>11</v>
      </c>
      <c r="D129" s="83">
        <v>330</v>
      </c>
      <c r="E129" s="280">
        <v>49186</v>
      </c>
      <c r="F129" s="280">
        <v>1000</v>
      </c>
      <c r="G129" s="191" t="s">
        <v>140</v>
      </c>
      <c r="H129" s="292">
        <v>48186</v>
      </c>
      <c r="I129" s="292">
        <v>0</v>
      </c>
      <c r="J129" s="292">
        <v>0</v>
      </c>
      <c r="K129" s="292">
        <v>0</v>
      </c>
      <c r="L129" s="292">
        <v>48186</v>
      </c>
    </row>
    <row r="130" spans="1:12" ht="45.75" x14ac:dyDescent="0.25">
      <c r="A130" s="83" t="s">
        <v>3</v>
      </c>
      <c r="B130" s="213" t="s">
        <v>67</v>
      </c>
      <c r="C130" s="213" t="s">
        <v>8</v>
      </c>
      <c r="D130" s="83">
        <v>272</v>
      </c>
      <c r="E130" s="280">
        <v>37266</v>
      </c>
      <c r="F130" s="280">
        <v>1000</v>
      </c>
      <c r="G130" s="191" t="s">
        <v>140</v>
      </c>
      <c r="H130" s="292">
        <v>36266</v>
      </c>
      <c r="I130" s="292">
        <v>0</v>
      </c>
      <c r="J130" s="292">
        <v>0</v>
      </c>
      <c r="K130" s="292">
        <v>0</v>
      </c>
      <c r="L130" s="292">
        <v>36266</v>
      </c>
    </row>
    <row r="131" spans="1:12" ht="45.75" x14ac:dyDescent="0.25">
      <c r="A131" s="83" t="s">
        <v>3</v>
      </c>
      <c r="B131" s="213" t="s">
        <v>82</v>
      </c>
      <c r="C131" s="213" t="s">
        <v>23</v>
      </c>
      <c r="D131" s="83">
        <v>276</v>
      </c>
      <c r="E131" s="280">
        <v>5401</v>
      </c>
      <c r="F131" s="280">
        <v>1000</v>
      </c>
      <c r="G131" s="191" t="s">
        <v>140</v>
      </c>
      <c r="H131" s="292">
        <v>4401</v>
      </c>
      <c r="I131" s="292">
        <v>0</v>
      </c>
      <c r="J131" s="292">
        <v>0</v>
      </c>
      <c r="K131" s="292">
        <v>0</v>
      </c>
      <c r="L131" s="292">
        <v>4401</v>
      </c>
    </row>
    <row r="132" spans="1:12" ht="75.75" x14ac:dyDescent="0.25">
      <c r="A132" s="83" t="s">
        <v>3</v>
      </c>
      <c r="B132" s="213" t="s">
        <v>448</v>
      </c>
      <c r="C132" s="213" t="s">
        <v>449</v>
      </c>
      <c r="D132" s="83">
        <v>292</v>
      </c>
      <c r="E132" s="280">
        <v>67153</v>
      </c>
      <c r="F132" s="280">
        <v>1000</v>
      </c>
      <c r="G132" s="191" t="s">
        <v>140</v>
      </c>
      <c r="H132" s="292">
        <v>66153</v>
      </c>
      <c r="I132" s="292">
        <v>0</v>
      </c>
      <c r="J132" s="292">
        <v>0</v>
      </c>
      <c r="K132" s="292">
        <v>0</v>
      </c>
      <c r="L132" s="292">
        <v>66153</v>
      </c>
    </row>
    <row r="133" spans="1:12" ht="30.75" x14ac:dyDescent="0.25">
      <c r="A133" s="83" t="s">
        <v>3</v>
      </c>
      <c r="B133" s="213" t="s">
        <v>71</v>
      </c>
      <c r="C133" s="213" t="s">
        <v>12</v>
      </c>
      <c r="D133" s="83">
        <v>209</v>
      </c>
      <c r="E133" s="280">
        <v>52760</v>
      </c>
      <c r="F133" s="280">
        <v>1000</v>
      </c>
      <c r="G133" s="191" t="s">
        <v>140</v>
      </c>
      <c r="H133" s="292">
        <v>51760</v>
      </c>
      <c r="I133" s="292">
        <v>0</v>
      </c>
      <c r="J133" s="292">
        <v>0</v>
      </c>
      <c r="K133" s="292">
        <v>0</v>
      </c>
      <c r="L133" s="292">
        <v>51760</v>
      </c>
    </row>
    <row r="134" spans="1:12" x14ac:dyDescent="0.25">
      <c r="A134" s="83" t="s">
        <v>3</v>
      </c>
      <c r="B134" s="213" t="s">
        <v>74</v>
      </c>
      <c r="C134" s="213" t="s">
        <v>15</v>
      </c>
      <c r="D134" s="83">
        <v>183</v>
      </c>
      <c r="E134" s="280">
        <v>16550</v>
      </c>
      <c r="F134" s="280">
        <v>1000</v>
      </c>
      <c r="G134" s="191" t="s">
        <v>140</v>
      </c>
      <c r="H134" s="292">
        <v>15550</v>
      </c>
      <c r="I134" s="292">
        <v>0</v>
      </c>
      <c r="J134" s="292">
        <v>0</v>
      </c>
      <c r="K134" s="292">
        <v>0</v>
      </c>
      <c r="L134" s="292">
        <v>15550</v>
      </c>
    </row>
    <row r="135" spans="1:12" x14ac:dyDescent="0.25">
      <c r="A135" s="83" t="s">
        <v>3</v>
      </c>
      <c r="B135" s="213" t="s">
        <v>455</v>
      </c>
      <c r="C135" s="213" t="s">
        <v>456</v>
      </c>
      <c r="D135" s="83">
        <v>251</v>
      </c>
      <c r="E135" s="280">
        <v>3144</v>
      </c>
      <c r="F135" s="280">
        <v>1000</v>
      </c>
      <c r="G135" s="191" t="s">
        <v>140</v>
      </c>
      <c r="H135" s="292">
        <v>2144</v>
      </c>
      <c r="I135" s="292">
        <v>0</v>
      </c>
      <c r="J135" s="292">
        <v>0</v>
      </c>
      <c r="K135" s="292">
        <v>0</v>
      </c>
      <c r="L135" s="292">
        <v>2144</v>
      </c>
    </row>
    <row r="136" spans="1:12" x14ac:dyDescent="0.25">
      <c r="A136" s="83" t="s">
        <v>3</v>
      </c>
      <c r="B136" s="213" t="s">
        <v>75</v>
      </c>
      <c r="C136" s="213" t="s">
        <v>16</v>
      </c>
      <c r="D136" s="83">
        <v>192</v>
      </c>
      <c r="E136" s="280">
        <v>13420</v>
      </c>
      <c r="F136" s="280">
        <v>1000</v>
      </c>
      <c r="G136" s="191" t="s">
        <v>140</v>
      </c>
      <c r="H136" s="292">
        <v>12420</v>
      </c>
      <c r="I136" s="292">
        <v>0</v>
      </c>
      <c r="J136" s="292">
        <v>0</v>
      </c>
      <c r="K136" s="292">
        <v>0</v>
      </c>
      <c r="L136" s="292">
        <v>12420</v>
      </c>
    </row>
    <row r="137" spans="1:12" ht="30.75" customHeight="1" x14ac:dyDescent="0.25">
      <c r="A137" s="83" t="s">
        <v>3</v>
      </c>
      <c r="B137" s="213" t="s">
        <v>76</v>
      </c>
      <c r="C137" s="213" t="s">
        <v>17</v>
      </c>
      <c r="D137" s="83">
        <v>297</v>
      </c>
      <c r="E137" s="280">
        <v>1180082</v>
      </c>
      <c r="F137" s="280">
        <v>1000</v>
      </c>
      <c r="G137" s="191" t="s">
        <v>140</v>
      </c>
      <c r="H137" s="292">
        <v>1179082</v>
      </c>
      <c r="I137" s="292">
        <v>0</v>
      </c>
      <c r="J137" s="292">
        <v>0</v>
      </c>
      <c r="K137" s="292">
        <v>0</v>
      </c>
      <c r="L137" s="292">
        <v>1179082</v>
      </c>
    </row>
    <row r="138" spans="1:12" ht="15.75" customHeight="1" x14ac:dyDescent="0.25">
      <c r="A138" s="83" t="s">
        <v>3</v>
      </c>
      <c r="B138" s="213" t="s">
        <v>77</v>
      </c>
      <c r="C138" s="213" t="s">
        <v>18</v>
      </c>
      <c r="D138" s="83">
        <v>166</v>
      </c>
      <c r="E138" s="280">
        <v>118001</v>
      </c>
      <c r="F138" s="280">
        <v>1000</v>
      </c>
      <c r="G138" s="191" t="s">
        <v>140</v>
      </c>
      <c r="H138" s="292">
        <v>117001</v>
      </c>
      <c r="I138" s="292">
        <v>0</v>
      </c>
      <c r="J138" s="292">
        <v>0</v>
      </c>
      <c r="K138" s="292">
        <v>0</v>
      </c>
      <c r="L138" s="292">
        <v>117001</v>
      </c>
    </row>
    <row r="139" spans="1:12" x14ac:dyDescent="0.25">
      <c r="A139" s="83" t="s">
        <v>3</v>
      </c>
      <c r="B139" s="213" t="s">
        <v>80</v>
      </c>
      <c r="C139" s="213" t="s">
        <v>21</v>
      </c>
      <c r="D139" s="83">
        <v>32</v>
      </c>
      <c r="E139" s="280">
        <v>18488</v>
      </c>
      <c r="F139" s="280">
        <v>1000</v>
      </c>
      <c r="G139" s="191" t="s">
        <v>140</v>
      </c>
      <c r="H139" s="292">
        <v>17488</v>
      </c>
      <c r="I139" s="292">
        <v>0</v>
      </c>
      <c r="J139" s="292">
        <v>0</v>
      </c>
      <c r="K139" s="292">
        <v>0</v>
      </c>
      <c r="L139" s="292">
        <v>17488</v>
      </c>
    </row>
    <row r="140" spans="1:12" ht="30.75" x14ac:dyDescent="0.25">
      <c r="A140" s="83" t="s">
        <v>3</v>
      </c>
      <c r="B140" s="213" t="s">
        <v>78</v>
      </c>
      <c r="C140" s="213" t="s">
        <v>19</v>
      </c>
      <c r="D140" s="83">
        <v>368</v>
      </c>
      <c r="E140" s="280">
        <v>18536</v>
      </c>
      <c r="F140" s="280">
        <v>1000</v>
      </c>
      <c r="G140" s="191" t="s">
        <v>140</v>
      </c>
      <c r="H140" s="292">
        <v>17536</v>
      </c>
      <c r="I140" s="292">
        <v>0</v>
      </c>
      <c r="J140" s="292">
        <v>0</v>
      </c>
      <c r="K140" s="292">
        <v>0</v>
      </c>
      <c r="L140" s="292">
        <v>17536</v>
      </c>
    </row>
    <row r="141" spans="1:12" x14ac:dyDescent="0.25">
      <c r="A141" s="83" t="s">
        <v>3</v>
      </c>
      <c r="B141" s="213" t="s">
        <v>79</v>
      </c>
      <c r="C141" s="213" t="s">
        <v>20</v>
      </c>
      <c r="D141" s="83">
        <v>357</v>
      </c>
      <c r="E141" s="280">
        <v>15235</v>
      </c>
      <c r="F141" s="280">
        <v>1000</v>
      </c>
      <c r="G141" s="191" t="s">
        <v>140</v>
      </c>
      <c r="H141" s="292">
        <v>14235</v>
      </c>
      <c r="I141" s="292">
        <v>0</v>
      </c>
      <c r="J141" s="292">
        <v>0</v>
      </c>
      <c r="K141" s="292">
        <v>0</v>
      </c>
      <c r="L141" s="292">
        <v>14235</v>
      </c>
    </row>
    <row r="142" spans="1:12" x14ac:dyDescent="0.25">
      <c r="A142" s="83" t="s">
        <v>3</v>
      </c>
      <c r="B142" s="213" t="s">
        <v>81</v>
      </c>
      <c r="C142" s="213" t="s">
        <v>22</v>
      </c>
      <c r="D142" s="83">
        <v>153</v>
      </c>
      <c r="E142" s="280">
        <v>7120</v>
      </c>
      <c r="F142" s="280">
        <v>1000</v>
      </c>
      <c r="G142" s="191" t="s">
        <v>140</v>
      </c>
      <c r="H142" s="292">
        <v>6120</v>
      </c>
      <c r="I142" s="292">
        <v>0</v>
      </c>
      <c r="J142" s="292">
        <v>0</v>
      </c>
      <c r="K142" s="292">
        <v>0</v>
      </c>
      <c r="L142" s="292">
        <v>6120</v>
      </c>
    </row>
    <row r="143" spans="1:12" x14ac:dyDescent="0.25">
      <c r="A143" s="83" t="s">
        <v>3</v>
      </c>
      <c r="B143" s="213" t="s">
        <v>457</v>
      </c>
      <c r="C143" s="213" t="s">
        <v>458</v>
      </c>
      <c r="D143" s="83">
        <v>155</v>
      </c>
      <c r="E143" s="280">
        <v>3677</v>
      </c>
      <c r="F143" s="280">
        <v>1000</v>
      </c>
      <c r="G143" s="191" t="s">
        <v>140</v>
      </c>
      <c r="H143" s="292">
        <v>2677</v>
      </c>
      <c r="I143" s="292">
        <v>0</v>
      </c>
      <c r="J143" s="292">
        <v>0</v>
      </c>
      <c r="K143" s="292">
        <v>0</v>
      </c>
      <c r="L143" s="292">
        <v>2677</v>
      </c>
    </row>
    <row r="144" spans="1:12" x14ac:dyDescent="0.25">
      <c r="A144" s="83" t="s">
        <v>3</v>
      </c>
      <c r="B144" s="213" t="s">
        <v>83</v>
      </c>
      <c r="C144" s="213" t="s">
        <v>17</v>
      </c>
      <c r="D144" s="83">
        <v>48</v>
      </c>
      <c r="E144" s="280">
        <v>139533</v>
      </c>
      <c r="F144" s="280">
        <v>1000</v>
      </c>
      <c r="G144" s="191" t="s">
        <v>140</v>
      </c>
      <c r="H144" s="292">
        <v>138533</v>
      </c>
      <c r="I144" s="292">
        <v>0</v>
      </c>
      <c r="J144" s="292">
        <v>0</v>
      </c>
      <c r="K144" s="292">
        <v>0</v>
      </c>
      <c r="L144" s="292">
        <v>138533</v>
      </c>
    </row>
    <row r="145" spans="1:12" x14ac:dyDescent="0.25">
      <c r="A145" s="83" t="s">
        <v>3</v>
      </c>
      <c r="B145" s="213" t="s">
        <v>84</v>
      </c>
      <c r="C145" s="213" t="s">
        <v>24</v>
      </c>
      <c r="D145" s="83">
        <v>350</v>
      </c>
      <c r="E145" s="280">
        <v>3864</v>
      </c>
      <c r="F145" s="280">
        <v>1000</v>
      </c>
      <c r="G145" s="191" t="s">
        <v>140</v>
      </c>
      <c r="H145" s="292">
        <v>2864</v>
      </c>
      <c r="I145" s="292">
        <v>0</v>
      </c>
      <c r="J145" s="292">
        <v>0</v>
      </c>
      <c r="K145" s="292">
        <v>0</v>
      </c>
      <c r="L145" s="292">
        <v>2864</v>
      </c>
    </row>
    <row r="146" spans="1:12" x14ac:dyDescent="0.25">
      <c r="A146" s="83" t="s">
        <v>3</v>
      </c>
      <c r="B146" s="213" t="s">
        <v>459</v>
      </c>
      <c r="C146" s="213" t="s">
        <v>460</v>
      </c>
      <c r="D146" s="83">
        <v>173</v>
      </c>
      <c r="E146" s="280">
        <v>19997</v>
      </c>
      <c r="F146" s="280">
        <v>1000</v>
      </c>
      <c r="G146" s="191" t="s">
        <v>140</v>
      </c>
      <c r="H146" s="292">
        <v>18997</v>
      </c>
      <c r="I146" s="292">
        <v>0</v>
      </c>
      <c r="J146" s="292">
        <v>0</v>
      </c>
      <c r="K146" s="292">
        <v>0</v>
      </c>
      <c r="L146" s="292">
        <v>18997</v>
      </c>
    </row>
    <row r="147" spans="1:12" ht="30.75" x14ac:dyDescent="0.25">
      <c r="A147" s="83" t="s">
        <v>3</v>
      </c>
      <c r="B147" s="213" t="s">
        <v>450</v>
      </c>
      <c r="C147" s="213" t="s">
        <v>451</v>
      </c>
      <c r="D147" s="83">
        <v>374</v>
      </c>
      <c r="E147" s="280">
        <v>959286</v>
      </c>
      <c r="F147" s="280">
        <v>0</v>
      </c>
      <c r="G147" s="191" t="s">
        <v>140</v>
      </c>
      <c r="H147" s="292">
        <v>959286</v>
      </c>
      <c r="I147" s="292">
        <v>0</v>
      </c>
      <c r="J147" s="292">
        <v>0</v>
      </c>
      <c r="K147" s="292">
        <v>0</v>
      </c>
      <c r="L147" s="292">
        <v>959286</v>
      </c>
    </row>
    <row r="148" spans="1:12" ht="30.75" x14ac:dyDescent="0.25">
      <c r="A148" s="83" t="s">
        <v>3</v>
      </c>
      <c r="B148" s="213" t="s">
        <v>466</v>
      </c>
      <c r="C148" s="213" t="s">
        <v>467</v>
      </c>
      <c r="D148" s="83">
        <v>261</v>
      </c>
      <c r="E148" s="280">
        <v>2686</v>
      </c>
      <c r="F148" s="280">
        <v>1000</v>
      </c>
      <c r="G148" s="191" t="s">
        <v>140</v>
      </c>
      <c r="H148" s="292">
        <v>1686</v>
      </c>
      <c r="I148" s="292">
        <v>0</v>
      </c>
      <c r="J148" s="292">
        <v>0</v>
      </c>
      <c r="K148" s="292">
        <v>0</v>
      </c>
      <c r="L148" s="292">
        <v>1686</v>
      </c>
    </row>
    <row r="149" spans="1:12" x14ac:dyDescent="0.25">
      <c r="A149" s="83" t="s">
        <v>3</v>
      </c>
      <c r="B149" s="213" t="s">
        <v>461</v>
      </c>
      <c r="C149" s="213" t="s">
        <v>25</v>
      </c>
      <c r="D149" s="83">
        <v>244</v>
      </c>
      <c r="E149" s="280">
        <v>14913</v>
      </c>
      <c r="F149" s="280">
        <v>1000</v>
      </c>
      <c r="G149" s="191" t="s">
        <v>140</v>
      </c>
      <c r="H149" s="292">
        <v>13913</v>
      </c>
      <c r="I149" s="292">
        <v>0</v>
      </c>
      <c r="J149" s="292">
        <v>0</v>
      </c>
      <c r="K149" s="292">
        <v>0</v>
      </c>
      <c r="L149" s="292">
        <v>13913</v>
      </c>
    </row>
    <row r="150" spans="1:12" x14ac:dyDescent="0.25">
      <c r="A150" s="83" t="s">
        <v>3</v>
      </c>
      <c r="B150" s="213" t="s">
        <v>85</v>
      </c>
      <c r="C150" s="213" t="s">
        <v>26</v>
      </c>
      <c r="D150" s="83">
        <v>171</v>
      </c>
      <c r="E150" s="280">
        <v>16721</v>
      </c>
      <c r="F150" s="280">
        <v>1000</v>
      </c>
      <c r="G150" s="191" t="s">
        <v>140</v>
      </c>
      <c r="H150" s="292">
        <v>15721</v>
      </c>
      <c r="I150" s="292">
        <v>0</v>
      </c>
      <c r="J150" s="292">
        <v>0</v>
      </c>
      <c r="K150" s="292">
        <v>0</v>
      </c>
      <c r="L150" s="292">
        <v>15721</v>
      </c>
    </row>
    <row r="151" spans="1:12" ht="30.75" x14ac:dyDescent="0.25">
      <c r="A151" s="83" t="s">
        <v>3</v>
      </c>
      <c r="B151" s="213" t="s">
        <v>86</v>
      </c>
      <c r="C151" s="213" t="s">
        <v>25</v>
      </c>
      <c r="D151" s="83">
        <v>258</v>
      </c>
      <c r="E151" s="280">
        <v>66570</v>
      </c>
      <c r="F151" s="280">
        <v>1000</v>
      </c>
      <c r="G151" s="191" t="s">
        <v>140</v>
      </c>
      <c r="H151" s="292">
        <v>65570</v>
      </c>
      <c r="I151" s="292">
        <v>0</v>
      </c>
      <c r="J151" s="292">
        <v>0</v>
      </c>
      <c r="K151" s="292">
        <v>0</v>
      </c>
      <c r="L151" s="292">
        <v>65570</v>
      </c>
    </row>
    <row r="152" spans="1:12" x14ac:dyDescent="0.25">
      <c r="A152" s="83" t="s">
        <v>3</v>
      </c>
      <c r="B152" s="213" t="s">
        <v>87</v>
      </c>
      <c r="C152" s="213" t="s">
        <v>17</v>
      </c>
      <c r="D152" s="83">
        <v>260</v>
      </c>
      <c r="E152" s="280">
        <v>172841</v>
      </c>
      <c r="F152" s="280">
        <v>1000</v>
      </c>
      <c r="G152" s="191" t="s">
        <v>140</v>
      </c>
      <c r="H152" s="292">
        <v>171841</v>
      </c>
      <c r="I152" s="292">
        <v>0</v>
      </c>
      <c r="J152" s="292">
        <v>0</v>
      </c>
      <c r="K152" s="292">
        <v>0</v>
      </c>
      <c r="L152" s="292">
        <v>171841</v>
      </c>
    </row>
    <row r="153" spans="1:12" ht="30.75" x14ac:dyDescent="0.25">
      <c r="A153" s="83" t="s">
        <v>3</v>
      </c>
      <c r="B153" s="213" t="s">
        <v>88</v>
      </c>
      <c r="C153" s="213" t="s">
        <v>27</v>
      </c>
      <c r="D153" s="83">
        <v>367</v>
      </c>
      <c r="E153" s="280">
        <v>153841</v>
      </c>
      <c r="F153" s="280">
        <v>1000</v>
      </c>
      <c r="G153" s="191" t="s">
        <v>140</v>
      </c>
      <c r="H153" s="292">
        <v>152841</v>
      </c>
      <c r="I153" s="292">
        <v>0</v>
      </c>
      <c r="J153" s="292">
        <v>0</v>
      </c>
      <c r="K153" s="292">
        <v>0</v>
      </c>
      <c r="L153" s="292">
        <v>152841</v>
      </c>
    </row>
    <row r="154" spans="1:12" x14ac:dyDescent="0.25">
      <c r="A154" s="83" t="s">
        <v>3</v>
      </c>
      <c r="B154" s="213" t="s">
        <v>89</v>
      </c>
      <c r="C154" s="213" t="s">
        <v>28</v>
      </c>
      <c r="D154" s="83">
        <v>351</v>
      </c>
      <c r="E154" s="280">
        <v>13266</v>
      </c>
      <c r="F154" s="280">
        <v>1000</v>
      </c>
      <c r="G154" s="191" t="s">
        <v>140</v>
      </c>
      <c r="H154" s="292">
        <v>12266</v>
      </c>
      <c r="I154" s="292">
        <v>0</v>
      </c>
      <c r="J154" s="292">
        <v>0</v>
      </c>
      <c r="K154" s="292">
        <v>0</v>
      </c>
      <c r="L154" s="292">
        <v>12266</v>
      </c>
    </row>
    <row r="155" spans="1:12" ht="15.75" customHeight="1" x14ac:dyDescent="0.25">
      <c r="A155" s="202" t="s">
        <v>313</v>
      </c>
      <c r="B155" s="218" t="s">
        <v>140</v>
      </c>
      <c r="C155" s="218" t="s">
        <v>140</v>
      </c>
      <c r="D155" s="218" t="s">
        <v>140</v>
      </c>
      <c r="E155" s="244">
        <f>SUBTOTAL(109,school201718[Program
Costs])</f>
        <v>3688848</v>
      </c>
      <c r="F155" s="244">
        <f>SUBTOTAL(109,school201718[Less: Net Payments and Offsets2])</f>
        <v>43444</v>
      </c>
      <c r="G155" s="218" t="s">
        <v>140</v>
      </c>
      <c r="H155" s="244">
        <f>SUBTOTAL(109,school201718[Accounts Payable
Balance])</f>
        <v>3645404</v>
      </c>
      <c r="I155" s="244">
        <f>SUBTOTAL(109,school201718[Established
Accounts Receivable])</f>
        <v>0</v>
      </c>
      <c r="J155" s="244">
        <f>SUBTOTAL(109,school201718[Less: Recovered Amount])</f>
        <v>0</v>
      </c>
      <c r="K155" s="244">
        <f>SUBTOTAL(109,school201718[Accounts Receivable
Balance])</f>
        <v>0</v>
      </c>
      <c r="L155" s="244">
        <f>SUBTOTAL(109,school201718[Net
Balance])</f>
        <v>3645404</v>
      </c>
    </row>
    <row r="156" spans="1:12" x14ac:dyDescent="0.25">
      <c r="A156" s="195" t="s">
        <v>141</v>
      </c>
      <c r="B156" s="142"/>
      <c r="C156" s="142"/>
      <c r="D156" s="142"/>
      <c r="E156" s="26"/>
      <c r="F156" s="26"/>
      <c r="G156" s="196"/>
      <c r="H156" s="26"/>
      <c r="I156" s="26"/>
      <c r="J156" s="26"/>
      <c r="K156" s="26"/>
      <c r="L156" s="26"/>
    </row>
    <row r="157" spans="1:12" ht="50.1" customHeight="1" x14ac:dyDescent="0.25">
      <c r="A157" s="10" t="s">
        <v>5</v>
      </c>
      <c r="B157" s="10" t="s">
        <v>6</v>
      </c>
      <c r="C157" s="10" t="s">
        <v>0</v>
      </c>
      <c r="D157" s="10" t="s">
        <v>441</v>
      </c>
      <c r="E157" s="215" t="s">
        <v>234</v>
      </c>
      <c r="F157" s="216" t="s">
        <v>452</v>
      </c>
      <c r="G157" s="217" t="s">
        <v>142</v>
      </c>
      <c r="H157" s="215" t="s">
        <v>444</v>
      </c>
      <c r="I157" s="215" t="s">
        <v>445</v>
      </c>
      <c r="J157" s="215" t="s">
        <v>446</v>
      </c>
      <c r="K157" s="215" t="s">
        <v>447</v>
      </c>
      <c r="L157" s="215" t="s">
        <v>305</v>
      </c>
    </row>
    <row r="158" spans="1:12" x14ac:dyDescent="0.25">
      <c r="A158" s="83" t="s">
        <v>48</v>
      </c>
      <c r="B158" s="213" t="s">
        <v>468</v>
      </c>
      <c r="C158" s="213" t="s">
        <v>469</v>
      </c>
      <c r="D158" s="83">
        <v>305</v>
      </c>
      <c r="E158" s="280">
        <v>1203</v>
      </c>
      <c r="F158" s="280">
        <v>1000</v>
      </c>
      <c r="G158" s="191" t="s">
        <v>140</v>
      </c>
      <c r="H158" s="292">
        <v>203</v>
      </c>
      <c r="I158" s="292">
        <v>0</v>
      </c>
      <c r="J158" s="292">
        <v>0</v>
      </c>
      <c r="K158" s="292">
        <v>0</v>
      </c>
      <c r="L158" s="292">
        <v>203</v>
      </c>
    </row>
    <row r="159" spans="1:12" ht="30.75" x14ac:dyDescent="0.25">
      <c r="A159" s="83" t="s">
        <v>48</v>
      </c>
      <c r="B159" s="213" t="s">
        <v>66</v>
      </c>
      <c r="C159" s="213" t="s">
        <v>7</v>
      </c>
      <c r="D159" s="83">
        <v>250</v>
      </c>
      <c r="E159" s="280">
        <v>43607</v>
      </c>
      <c r="F159" s="280">
        <v>1000</v>
      </c>
      <c r="G159" s="191" t="s">
        <v>140</v>
      </c>
      <c r="H159" s="292">
        <v>42607</v>
      </c>
      <c r="I159" s="292">
        <v>0</v>
      </c>
      <c r="J159" s="292">
        <v>0</v>
      </c>
      <c r="K159" s="292">
        <v>0</v>
      </c>
      <c r="L159" s="292">
        <v>42607</v>
      </c>
    </row>
    <row r="160" spans="1:12" ht="30.75" x14ac:dyDescent="0.25">
      <c r="A160" s="83" t="s">
        <v>48</v>
      </c>
      <c r="B160" s="213" t="s">
        <v>453</v>
      </c>
      <c r="C160" s="213" t="s">
        <v>454</v>
      </c>
      <c r="D160" s="83">
        <v>370</v>
      </c>
      <c r="E160" s="280">
        <v>227908</v>
      </c>
      <c r="F160" s="280">
        <v>14748</v>
      </c>
      <c r="G160" s="191" t="s">
        <v>140</v>
      </c>
      <c r="H160" s="292">
        <v>213160</v>
      </c>
      <c r="I160" s="292">
        <v>0</v>
      </c>
      <c r="J160" s="292">
        <v>0</v>
      </c>
      <c r="K160" s="292">
        <v>0</v>
      </c>
      <c r="L160" s="292">
        <v>213160</v>
      </c>
    </row>
    <row r="161" spans="1:12" ht="30.75" customHeight="1" x14ac:dyDescent="0.25">
      <c r="A161" s="83" t="s">
        <v>48</v>
      </c>
      <c r="B161" s="213" t="s">
        <v>68</v>
      </c>
      <c r="C161" s="213" t="s">
        <v>9</v>
      </c>
      <c r="D161" s="83">
        <v>369</v>
      </c>
      <c r="E161" s="280">
        <v>7349646</v>
      </c>
      <c r="F161" s="280">
        <v>5761209</v>
      </c>
      <c r="G161" s="191" t="s">
        <v>140</v>
      </c>
      <c r="H161" s="292">
        <v>1588437</v>
      </c>
      <c r="I161" s="292">
        <v>0</v>
      </c>
      <c r="J161" s="292">
        <v>0</v>
      </c>
      <c r="K161" s="292">
        <v>0</v>
      </c>
      <c r="L161" s="292">
        <v>1588437</v>
      </c>
    </row>
    <row r="162" spans="1:12" ht="30.75" x14ac:dyDescent="0.25">
      <c r="A162" s="83" t="s">
        <v>48</v>
      </c>
      <c r="B162" s="213" t="s">
        <v>69</v>
      </c>
      <c r="C162" s="213" t="s">
        <v>10</v>
      </c>
      <c r="D162" s="83">
        <v>172</v>
      </c>
      <c r="E162" s="280">
        <v>3190</v>
      </c>
      <c r="F162" s="280">
        <v>1000</v>
      </c>
      <c r="G162" s="191" t="s">
        <v>140</v>
      </c>
      <c r="H162" s="292">
        <v>2190</v>
      </c>
      <c r="I162" s="292">
        <v>0</v>
      </c>
      <c r="J162" s="292">
        <v>0</v>
      </c>
      <c r="K162" s="292">
        <v>0</v>
      </c>
      <c r="L162" s="292">
        <v>2190</v>
      </c>
    </row>
    <row r="163" spans="1:12" x14ac:dyDescent="0.25">
      <c r="A163" s="83" t="s">
        <v>48</v>
      </c>
      <c r="B163" s="213" t="s">
        <v>464</v>
      </c>
      <c r="C163" s="213" t="s">
        <v>465</v>
      </c>
      <c r="D163" s="83">
        <v>278</v>
      </c>
      <c r="E163" s="280">
        <v>14543</v>
      </c>
      <c r="F163" s="280">
        <v>1039</v>
      </c>
      <c r="G163" s="191" t="s">
        <v>140</v>
      </c>
      <c r="H163" s="292">
        <v>13504</v>
      </c>
      <c r="I163" s="292">
        <v>0</v>
      </c>
      <c r="J163" s="292">
        <v>0</v>
      </c>
      <c r="K163" s="292">
        <v>0</v>
      </c>
      <c r="L163" s="292">
        <v>13504</v>
      </c>
    </row>
    <row r="164" spans="1:12" ht="30.75" customHeight="1" x14ac:dyDescent="0.25">
      <c r="A164" s="83" t="s">
        <v>48</v>
      </c>
      <c r="B164" s="213" t="s">
        <v>72</v>
      </c>
      <c r="C164" s="213" t="s">
        <v>13</v>
      </c>
      <c r="D164" s="83">
        <v>11</v>
      </c>
      <c r="E164" s="280">
        <v>197395</v>
      </c>
      <c r="F164" s="280">
        <v>22063</v>
      </c>
      <c r="G164" s="191" t="s">
        <v>140</v>
      </c>
      <c r="H164" s="292">
        <v>175332</v>
      </c>
      <c r="I164" s="292">
        <v>0</v>
      </c>
      <c r="J164" s="292">
        <v>0</v>
      </c>
      <c r="K164" s="292">
        <v>0</v>
      </c>
      <c r="L164" s="292">
        <v>175332</v>
      </c>
    </row>
    <row r="165" spans="1:12" ht="15.75" customHeight="1" x14ac:dyDescent="0.25">
      <c r="A165" s="83" t="s">
        <v>48</v>
      </c>
      <c r="B165" s="213" t="s">
        <v>73</v>
      </c>
      <c r="C165" s="213" t="s">
        <v>14</v>
      </c>
      <c r="D165" s="83">
        <v>313</v>
      </c>
      <c r="E165" s="280">
        <v>32634</v>
      </c>
      <c r="F165" s="280">
        <v>1285</v>
      </c>
      <c r="G165" s="191" t="s">
        <v>140</v>
      </c>
      <c r="H165" s="292">
        <v>31349</v>
      </c>
      <c r="I165" s="292">
        <v>0</v>
      </c>
      <c r="J165" s="292">
        <v>0</v>
      </c>
      <c r="K165" s="292">
        <v>0</v>
      </c>
      <c r="L165" s="292">
        <v>31349</v>
      </c>
    </row>
    <row r="166" spans="1:12" ht="30.75" customHeight="1" x14ac:dyDescent="0.25">
      <c r="A166" s="83" t="s">
        <v>48</v>
      </c>
      <c r="B166" s="213" t="s">
        <v>70</v>
      </c>
      <c r="C166" s="213" t="s">
        <v>11</v>
      </c>
      <c r="D166" s="83">
        <v>330</v>
      </c>
      <c r="E166" s="280">
        <v>44856</v>
      </c>
      <c r="F166" s="280">
        <v>1000</v>
      </c>
      <c r="G166" s="191" t="s">
        <v>140</v>
      </c>
      <c r="H166" s="292">
        <v>43856</v>
      </c>
      <c r="I166" s="292">
        <v>0</v>
      </c>
      <c r="J166" s="292">
        <v>0</v>
      </c>
      <c r="K166" s="292">
        <v>0</v>
      </c>
      <c r="L166" s="292">
        <v>43856</v>
      </c>
    </row>
    <row r="167" spans="1:12" ht="45.75" x14ac:dyDescent="0.25">
      <c r="A167" s="83" t="s">
        <v>48</v>
      </c>
      <c r="B167" s="213" t="s">
        <v>67</v>
      </c>
      <c r="C167" s="213" t="s">
        <v>8</v>
      </c>
      <c r="D167" s="83">
        <v>272</v>
      </c>
      <c r="E167" s="280">
        <v>25635</v>
      </c>
      <c r="F167" s="280">
        <v>1000</v>
      </c>
      <c r="G167" s="191" t="s">
        <v>140</v>
      </c>
      <c r="H167" s="292">
        <v>24635</v>
      </c>
      <c r="I167" s="292">
        <v>0</v>
      </c>
      <c r="J167" s="292">
        <v>0</v>
      </c>
      <c r="K167" s="292">
        <v>0</v>
      </c>
      <c r="L167" s="292">
        <v>24635</v>
      </c>
    </row>
    <row r="168" spans="1:12" ht="45.75" customHeight="1" x14ac:dyDescent="0.25">
      <c r="A168" s="83" t="s">
        <v>48</v>
      </c>
      <c r="B168" s="213" t="s">
        <v>82</v>
      </c>
      <c r="C168" s="213" t="s">
        <v>23</v>
      </c>
      <c r="D168" s="83">
        <v>276</v>
      </c>
      <c r="E168" s="280">
        <v>1065</v>
      </c>
      <c r="F168" s="280">
        <v>1000</v>
      </c>
      <c r="G168" s="191" t="s">
        <v>140</v>
      </c>
      <c r="H168" s="292">
        <v>65</v>
      </c>
      <c r="I168" s="292">
        <v>0</v>
      </c>
      <c r="J168" s="292">
        <v>0</v>
      </c>
      <c r="K168" s="292">
        <v>0</v>
      </c>
      <c r="L168" s="292">
        <v>65</v>
      </c>
    </row>
    <row r="169" spans="1:12" ht="75.75" customHeight="1" x14ac:dyDescent="0.25">
      <c r="A169" s="83" t="s">
        <v>48</v>
      </c>
      <c r="B169" s="213" t="s">
        <v>448</v>
      </c>
      <c r="C169" s="213" t="s">
        <v>449</v>
      </c>
      <c r="D169" s="83">
        <v>292</v>
      </c>
      <c r="E169" s="280">
        <v>49916</v>
      </c>
      <c r="F169" s="280">
        <v>10004</v>
      </c>
      <c r="G169" s="191" t="s">
        <v>140</v>
      </c>
      <c r="H169" s="292">
        <v>39912</v>
      </c>
      <c r="I169" s="292">
        <v>0</v>
      </c>
      <c r="J169" s="292">
        <v>0</v>
      </c>
      <c r="K169" s="292">
        <v>0</v>
      </c>
      <c r="L169" s="292">
        <v>39912</v>
      </c>
    </row>
    <row r="170" spans="1:12" ht="30.75" x14ac:dyDescent="0.25">
      <c r="A170" s="83" t="s">
        <v>48</v>
      </c>
      <c r="B170" s="213" t="s">
        <v>71</v>
      </c>
      <c r="C170" s="213" t="s">
        <v>12</v>
      </c>
      <c r="D170" s="83">
        <v>209</v>
      </c>
      <c r="E170" s="280">
        <v>65899</v>
      </c>
      <c r="F170" s="280">
        <v>1000</v>
      </c>
      <c r="G170" s="191" t="s">
        <v>140</v>
      </c>
      <c r="H170" s="292">
        <v>64899</v>
      </c>
      <c r="I170" s="292">
        <v>0</v>
      </c>
      <c r="J170" s="292">
        <v>0</v>
      </c>
      <c r="K170" s="292">
        <v>0</v>
      </c>
      <c r="L170" s="292">
        <v>64899</v>
      </c>
    </row>
    <row r="171" spans="1:12" x14ac:dyDescent="0.25">
      <c r="A171" s="83" t="s">
        <v>48</v>
      </c>
      <c r="B171" s="213" t="s">
        <v>74</v>
      </c>
      <c r="C171" s="213" t="s">
        <v>15</v>
      </c>
      <c r="D171" s="83">
        <v>183</v>
      </c>
      <c r="E171" s="280">
        <v>6458</v>
      </c>
      <c r="F171" s="280">
        <v>1000</v>
      </c>
      <c r="G171" s="191" t="s">
        <v>140</v>
      </c>
      <c r="H171" s="292">
        <v>5458</v>
      </c>
      <c r="I171" s="292">
        <v>0</v>
      </c>
      <c r="J171" s="292">
        <v>0</v>
      </c>
      <c r="K171" s="292">
        <v>0</v>
      </c>
      <c r="L171" s="292">
        <v>5458</v>
      </c>
    </row>
    <row r="172" spans="1:12" x14ac:dyDescent="0.25">
      <c r="A172" s="83" t="s">
        <v>48</v>
      </c>
      <c r="B172" s="213" t="s">
        <v>455</v>
      </c>
      <c r="C172" s="213" t="s">
        <v>456</v>
      </c>
      <c r="D172" s="83">
        <v>251</v>
      </c>
      <c r="E172" s="280">
        <v>3050</v>
      </c>
      <c r="F172" s="280">
        <v>1000</v>
      </c>
      <c r="G172" s="191" t="s">
        <v>140</v>
      </c>
      <c r="H172" s="292">
        <v>2050</v>
      </c>
      <c r="I172" s="292">
        <v>0</v>
      </c>
      <c r="J172" s="292">
        <v>0</v>
      </c>
      <c r="K172" s="292">
        <v>0</v>
      </c>
      <c r="L172" s="292">
        <v>2050</v>
      </c>
    </row>
    <row r="173" spans="1:12" x14ac:dyDescent="0.25">
      <c r="A173" s="83" t="s">
        <v>48</v>
      </c>
      <c r="B173" s="213" t="s">
        <v>75</v>
      </c>
      <c r="C173" s="213" t="s">
        <v>16</v>
      </c>
      <c r="D173" s="83">
        <v>192</v>
      </c>
      <c r="E173" s="280">
        <v>15289</v>
      </c>
      <c r="F173" s="280">
        <v>1000</v>
      </c>
      <c r="G173" s="191" t="s">
        <v>140</v>
      </c>
      <c r="H173" s="292">
        <v>14289</v>
      </c>
      <c r="I173" s="292">
        <v>0</v>
      </c>
      <c r="J173" s="292">
        <v>0</v>
      </c>
      <c r="K173" s="292">
        <v>0</v>
      </c>
      <c r="L173" s="292">
        <v>14289</v>
      </c>
    </row>
    <row r="174" spans="1:12" ht="30.75" x14ac:dyDescent="0.25">
      <c r="A174" s="83" t="s">
        <v>48</v>
      </c>
      <c r="B174" s="213" t="s">
        <v>76</v>
      </c>
      <c r="C174" s="213" t="s">
        <v>17</v>
      </c>
      <c r="D174" s="83">
        <v>297</v>
      </c>
      <c r="E174" s="280">
        <v>983665</v>
      </c>
      <c r="F174" s="280">
        <v>184451</v>
      </c>
      <c r="G174" s="191" t="s">
        <v>140</v>
      </c>
      <c r="H174" s="292">
        <v>799214</v>
      </c>
      <c r="I174" s="292">
        <v>0</v>
      </c>
      <c r="J174" s="292">
        <v>0</v>
      </c>
      <c r="K174" s="292">
        <v>0</v>
      </c>
      <c r="L174" s="292">
        <v>799214</v>
      </c>
    </row>
    <row r="175" spans="1:12" x14ac:dyDescent="0.25">
      <c r="A175" s="83" t="s">
        <v>48</v>
      </c>
      <c r="B175" s="213" t="s">
        <v>77</v>
      </c>
      <c r="C175" s="213" t="s">
        <v>18</v>
      </c>
      <c r="D175" s="83">
        <v>166</v>
      </c>
      <c r="E175" s="280">
        <v>119567</v>
      </c>
      <c r="F175" s="280">
        <v>26708</v>
      </c>
      <c r="G175" s="191" t="s">
        <v>140</v>
      </c>
      <c r="H175" s="292">
        <v>92859</v>
      </c>
      <c r="I175" s="292">
        <v>0</v>
      </c>
      <c r="J175" s="292">
        <v>0</v>
      </c>
      <c r="K175" s="292">
        <v>0</v>
      </c>
      <c r="L175" s="292">
        <v>92859</v>
      </c>
    </row>
    <row r="176" spans="1:12" x14ac:dyDescent="0.25">
      <c r="A176" s="83" t="s">
        <v>48</v>
      </c>
      <c r="B176" s="213" t="s">
        <v>80</v>
      </c>
      <c r="C176" s="213" t="s">
        <v>21</v>
      </c>
      <c r="D176" s="83">
        <v>32</v>
      </c>
      <c r="E176" s="280">
        <v>20932</v>
      </c>
      <c r="F176" s="280">
        <v>5404</v>
      </c>
      <c r="G176" s="191" t="s">
        <v>140</v>
      </c>
      <c r="H176" s="292">
        <v>15528</v>
      </c>
      <c r="I176" s="292">
        <v>0</v>
      </c>
      <c r="J176" s="292">
        <v>0</v>
      </c>
      <c r="K176" s="292">
        <v>0</v>
      </c>
      <c r="L176" s="292">
        <v>15528</v>
      </c>
    </row>
    <row r="177" spans="1:12" ht="30.75" x14ac:dyDescent="0.25">
      <c r="A177" s="83" t="s">
        <v>48</v>
      </c>
      <c r="B177" s="213" t="s">
        <v>78</v>
      </c>
      <c r="C177" s="213" t="s">
        <v>19</v>
      </c>
      <c r="D177" s="83">
        <v>368</v>
      </c>
      <c r="E177" s="280">
        <v>15862</v>
      </c>
      <c r="F177" s="280">
        <v>2085</v>
      </c>
      <c r="G177" s="191" t="s">
        <v>140</v>
      </c>
      <c r="H177" s="292">
        <v>13777</v>
      </c>
      <c r="I177" s="292">
        <v>0</v>
      </c>
      <c r="J177" s="292">
        <v>0</v>
      </c>
      <c r="K177" s="292">
        <v>0</v>
      </c>
      <c r="L177" s="292">
        <v>13777</v>
      </c>
    </row>
    <row r="178" spans="1:12" x14ac:dyDescent="0.25">
      <c r="A178" s="83" t="s">
        <v>48</v>
      </c>
      <c r="B178" s="213" t="s">
        <v>79</v>
      </c>
      <c r="C178" s="213" t="s">
        <v>20</v>
      </c>
      <c r="D178" s="83">
        <v>357</v>
      </c>
      <c r="E178" s="280">
        <v>12194</v>
      </c>
      <c r="F178" s="280">
        <v>1000</v>
      </c>
      <c r="G178" s="191" t="s">
        <v>140</v>
      </c>
      <c r="H178" s="292">
        <v>11194</v>
      </c>
      <c r="I178" s="292">
        <v>0</v>
      </c>
      <c r="J178" s="292">
        <v>0</v>
      </c>
      <c r="K178" s="292">
        <v>0</v>
      </c>
      <c r="L178" s="292">
        <v>11194</v>
      </c>
    </row>
    <row r="179" spans="1:12" x14ac:dyDescent="0.25">
      <c r="A179" s="83" t="s">
        <v>48</v>
      </c>
      <c r="B179" s="213" t="s">
        <v>81</v>
      </c>
      <c r="C179" s="213" t="s">
        <v>22</v>
      </c>
      <c r="D179" s="83">
        <v>153</v>
      </c>
      <c r="E179" s="280">
        <v>3284</v>
      </c>
      <c r="F179" s="280">
        <v>1000</v>
      </c>
      <c r="G179" s="191" t="s">
        <v>140</v>
      </c>
      <c r="H179" s="292">
        <v>2284</v>
      </c>
      <c r="I179" s="292">
        <v>0</v>
      </c>
      <c r="J179" s="292">
        <v>0</v>
      </c>
      <c r="K179" s="292">
        <v>0</v>
      </c>
      <c r="L179" s="292">
        <v>2284</v>
      </c>
    </row>
    <row r="180" spans="1:12" x14ac:dyDescent="0.25">
      <c r="A180" s="83" t="s">
        <v>48</v>
      </c>
      <c r="B180" s="213" t="s">
        <v>83</v>
      </c>
      <c r="C180" s="213" t="s">
        <v>17</v>
      </c>
      <c r="D180" s="83">
        <v>48</v>
      </c>
      <c r="E180" s="280">
        <v>141608</v>
      </c>
      <c r="F180" s="280">
        <v>46317</v>
      </c>
      <c r="G180" s="191" t="s">
        <v>140</v>
      </c>
      <c r="H180" s="292">
        <v>95291</v>
      </c>
      <c r="I180" s="292">
        <v>0</v>
      </c>
      <c r="J180" s="292">
        <v>0</v>
      </c>
      <c r="K180" s="292">
        <v>0</v>
      </c>
      <c r="L180" s="292">
        <v>95291</v>
      </c>
    </row>
    <row r="181" spans="1:12" x14ac:dyDescent="0.25">
      <c r="A181" s="83" t="s">
        <v>48</v>
      </c>
      <c r="B181" s="213" t="s">
        <v>459</v>
      </c>
      <c r="C181" s="213" t="s">
        <v>460</v>
      </c>
      <c r="D181" s="83">
        <v>173</v>
      </c>
      <c r="E181" s="280">
        <v>21944</v>
      </c>
      <c r="F181" s="280">
        <v>5333</v>
      </c>
      <c r="G181" s="191" t="s">
        <v>140</v>
      </c>
      <c r="H181" s="292">
        <v>16611</v>
      </c>
      <c r="I181" s="292">
        <v>0</v>
      </c>
      <c r="J181" s="292">
        <v>0</v>
      </c>
      <c r="K181" s="292">
        <v>0</v>
      </c>
      <c r="L181" s="292">
        <v>16611</v>
      </c>
    </row>
    <row r="182" spans="1:12" ht="30.75" x14ac:dyDescent="0.25">
      <c r="A182" s="83" t="s">
        <v>48</v>
      </c>
      <c r="B182" s="213" t="s">
        <v>466</v>
      </c>
      <c r="C182" s="213" t="s">
        <v>467</v>
      </c>
      <c r="D182" s="83">
        <v>261</v>
      </c>
      <c r="E182" s="280">
        <v>2385</v>
      </c>
      <c r="F182" s="280">
        <v>1000</v>
      </c>
      <c r="G182" s="191" t="s">
        <v>140</v>
      </c>
      <c r="H182" s="292">
        <v>1385</v>
      </c>
      <c r="I182" s="292">
        <v>0</v>
      </c>
      <c r="J182" s="292">
        <v>0</v>
      </c>
      <c r="K182" s="292">
        <v>0</v>
      </c>
      <c r="L182" s="292">
        <v>1385</v>
      </c>
    </row>
    <row r="183" spans="1:12" ht="30.75" customHeight="1" x14ac:dyDescent="0.25">
      <c r="A183" s="83" t="s">
        <v>48</v>
      </c>
      <c r="B183" s="213" t="s">
        <v>461</v>
      </c>
      <c r="C183" s="213" t="s">
        <v>25</v>
      </c>
      <c r="D183" s="83">
        <v>244</v>
      </c>
      <c r="E183" s="280">
        <v>7579</v>
      </c>
      <c r="F183" s="280">
        <v>2017</v>
      </c>
      <c r="G183" s="191" t="s">
        <v>140</v>
      </c>
      <c r="H183" s="292">
        <v>5562</v>
      </c>
      <c r="I183" s="292">
        <v>0</v>
      </c>
      <c r="J183" s="292">
        <v>0</v>
      </c>
      <c r="K183" s="292">
        <v>0</v>
      </c>
      <c r="L183" s="292">
        <v>5562</v>
      </c>
    </row>
    <row r="184" spans="1:12" x14ac:dyDescent="0.25">
      <c r="A184" s="83" t="s">
        <v>48</v>
      </c>
      <c r="B184" s="213" t="s">
        <v>85</v>
      </c>
      <c r="C184" s="213" t="s">
        <v>26</v>
      </c>
      <c r="D184" s="83">
        <v>171</v>
      </c>
      <c r="E184" s="280">
        <v>18873</v>
      </c>
      <c r="F184" s="280">
        <v>3510</v>
      </c>
      <c r="G184" s="191" t="s">
        <v>140</v>
      </c>
      <c r="H184" s="292">
        <v>15363</v>
      </c>
      <c r="I184" s="292">
        <v>0</v>
      </c>
      <c r="J184" s="292">
        <v>0</v>
      </c>
      <c r="K184" s="292">
        <v>0</v>
      </c>
      <c r="L184" s="292">
        <v>15363</v>
      </c>
    </row>
    <row r="185" spans="1:12" ht="15.75" customHeight="1" x14ac:dyDescent="0.25">
      <c r="A185" s="83" t="s">
        <v>48</v>
      </c>
      <c r="B185" s="213" t="s">
        <v>86</v>
      </c>
      <c r="C185" s="213" t="s">
        <v>25</v>
      </c>
      <c r="D185" s="83">
        <v>258</v>
      </c>
      <c r="E185" s="280">
        <v>62743</v>
      </c>
      <c r="F185" s="280">
        <v>4325</v>
      </c>
      <c r="G185" s="191" t="s">
        <v>140</v>
      </c>
      <c r="H185" s="292">
        <v>58418</v>
      </c>
      <c r="I185" s="292">
        <v>0</v>
      </c>
      <c r="J185" s="292">
        <v>0</v>
      </c>
      <c r="K185" s="292">
        <v>0</v>
      </c>
      <c r="L185" s="292">
        <v>58418</v>
      </c>
    </row>
    <row r="186" spans="1:12" ht="45.75" customHeight="1" x14ac:dyDescent="0.25">
      <c r="A186" s="83" t="s">
        <v>48</v>
      </c>
      <c r="B186" s="213" t="s">
        <v>87</v>
      </c>
      <c r="C186" s="213" t="s">
        <v>17</v>
      </c>
      <c r="D186" s="83">
        <v>260</v>
      </c>
      <c r="E186" s="280">
        <v>165974</v>
      </c>
      <c r="F186" s="280">
        <v>38220</v>
      </c>
      <c r="G186" s="191" t="s">
        <v>140</v>
      </c>
      <c r="H186" s="292">
        <v>127754</v>
      </c>
      <c r="I186" s="292">
        <v>0</v>
      </c>
      <c r="J186" s="292">
        <v>0</v>
      </c>
      <c r="K186" s="292">
        <v>0</v>
      </c>
      <c r="L186" s="292">
        <v>127754</v>
      </c>
    </row>
    <row r="187" spans="1:12" ht="15" customHeight="1" x14ac:dyDescent="0.25">
      <c r="A187" s="83" t="s">
        <v>48</v>
      </c>
      <c r="B187" s="213" t="s">
        <v>88</v>
      </c>
      <c r="C187" s="213" t="s">
        <v>27</v>
      </c>
      <c r="D187" s="83">
        <v>367</v>
      </c>
      <c r="E187" s="280">
        <v>7654541</v>
      </c>
      <c r="F187" s="280">
        <v>4951823</v>
      </c>
      <c r="G187" s="191" t="s">
        <v>140</v>
      </c>
      <c r="H187" s="292">
        <v>2702718</v>
      </c>
      <c r="I187" s="292">
        <v>0</v>
      </c>
      <c r="J187" s="292">
        <v>0</v>
      </c>
      <c r="K187" s="292">
        <v>0</v>
      </c>
      <c r="L187" s="292">
        <v>2702718</v>
      </c>
    </row>
    <row r="188" spans="1:12" ht="30.75" customHeight="1" x14ac:dyDescent="0.25">
      <c r="A188" s="83" t="s">
        <v>48</v>
      </c>
      <c r="B188" s="213" t="s">
        <v>462</v>
      </c>
      <c r="C188" s="213" t="s">
        <v>463</v>
      </c>
      <c r="D188" s="83">
        <v>346</v>
      </c>
      <c r="E188" s="280">
        <v>17010</v>
      </c>
      <c r="F188" s="280">
        <v>1000</v>
      </c>
      <c r="G188" s="191" t="s">
        <v>140</v>
      </c>
      <c r="H188" s="292">
        <v>16010</v>
      </c>
      <c r="I188" s="292">
        <v>0</v>
      </c>
      <c r="J188" s="292">
        <v>0</v>
      </c>
      <c r="K188" s="292">
        <v>0</v>
      </c>
      <c r="L188" s="292">
        <v>16010</v>
      </c>
    </row>
    <row r="189" spans="1:12" ht="15.75" customHeight="1" x14ac:dyDescent="0.25">
      <c r="A189" s="83" t="s">
        <v>48</v>
      </c>
      <c r="B189" s="213" t="s">
        <v>89</v>
      </c>
      <c r="C189" s="213" t="s">
        <v>28</v>
      </c>
      <c r="D189" s="83">
        <v>351</v>
      </c>
      <c r="E189" s="280">
        <v>11236</v>
      </c>
      <c r="F189" s="280">
        <v>1000</v>
      </c>
      <c r="G189" s="191" t="s">
        <v>140</v>
      </c>
      <c r="H189" s="292">
        <v>10236</v>
      </c>
      <c r="I189" s="292">
        <v>0</v>
      </c>
      <c r="J189" s="292">
        <v>0</v>
      </c>
      <c r="K189" s="292">
        <v>0</v>
      </c>
      <c r="L189" s="292">
        <v>10236</v>
      </c>
    </row>
    <row r="190" spans="1:12" ht="15.75" customHeight="1" x14ac:dyDescent="0.25">
      <c r="A190" s="202" t="s">
        <v>314</v>
      </c>
      <c r="B190" s="218" t="s">
        <v>140</v>
      </c>
      <c r="C190" s="218" t="s">
        <v>140</v>
      </c>
      <c r="D190" s="218" t="s">
        <v>140</v>
      </c>
      <c r="E190" s="244">
        <f>SUBTOTAL(109,school201617[Program
Costs])</f>
        <v>17341691</v>
      </c>
      <c r="F190" s="244">
        <f>SUBTOTAL(109,school201617[Less: Net Payments and Offsets2])</f>
        <v>11095541</v>
      </c>
      <c r="G190" s="218" t="s">
        <v>140</v>
      </c>
      <c r="H190" s="244">
        <f>SUBTOTAL(109,school201617[Accounts Payable
Balance])</f>
        <v>6246150</v>
      </c>
      <c r="I190" s="244">
        <f>SUBTOTAL(109,school201617[Established
Accounts Receivable])</f>
        <v>0</v>
      </c>
      <c r="J190" s="244">
        <f>SUBTOTAL(109,school201617[Less: Recovered Amount])</f>
        <v>0</v>
      </c>
      <c r="K190" s="244">
        <f>SUBTOTAL(109,school201617[Accounts Receivable
Balance])</f>
        <v>0</v>
      </c>
      <c r="L190" s="244">
        <f>SUBTOTAL(109,school201617[Net
Balance])</f>
        <v>6246150</v>
      </c>
    </row>
    <row r="191" spans="1:12" x14ac:dyDescent="0.25">
      <c r="A191" s="195" t="s">
        <v>141</v>
      </c>
      <c r="B191" s="142"/>
      <c r="C191" s="142"/>
      <c r="D191" s="142"/>
      <c r="E191" s="26"/>
      <c r="F191" s="26"/>
      <c r="G191" s="196"/>
      <c r="H191" s="26"/>
      <c r="I191" s="26"/>
      <c r="J191" s="26"/>
      <c r="K191" s="26"/>
      <c r="L191" s="26"/>
    </row>
    <row r="192" spans="1:12" ht="50.1" customHeight="1" x14ac:dyDescent="0.25">
      <c r="A192" s="10" t="s">
        <v>5</v>
      </c>
      <c r="B192" s="10" t="s">
        <v>6</v>
      </c>
      <c r="C192" s="10" t="s">
        <v>0</v>
      </c>
      <c r="D192" s="10" t="s">
        <v>441</v>
      </c>
      <c r="E192" s="215" t="s">
        <v>234</v>
      </c>
      <c r="F192" s="216" t="s">
        <v>452</v>
      </c>
      <c r="G192" s="217" t="s">
        <v>142</v>
      </c>
      <c r="H192" s="215" t="s">
        <v>444</v>
      </c>
      <c r="I192" s="215" t="s">
        <v>445</v>
      </c>
      <c r="J192" s="215" t="s">
        <v>446</v>
      </c>
      <c r="K192" s="215" t="s">
        <v>447</v>
      </c>
      <c r="L192" s="215" t="s">
        <v>305</v>
      </c>
    </row>
    <row r="193" spans="1:12" x14ac:dyDescent="0.25">
      <c r="A193" s="83" t="s">
        <v>315</v>
      </c>
      <c r="B193" s="213" t="s">
        <v>468</v>
      </c>
      <c r="C193" s="213" t="s">
        <v>469</v>
      </c>
      <c r="D193" s="83">
        <v>305</v>
      </c>
      <c r="E193" s="280">
        <v>1090</v>
      </c>
      <c r="F193" s="280">
        <v>1000</v>
      </c>
      <c r="G193" s="191" t="s">
        <v>140</v>
      </c>
      <c r="H193" s="292">
        <v>90</v>
      </c>
      <c r="I193" s="292">
        <v>0</v>
      </c>
      <c r="J193" s="292">
        <v>0</v>
      </c>
      <c r="K193" s="292">
        <v>0</v>
      </c>
      <c r="L193" s="292">
        <v>90</v>
      </c>
    </row>
    <row r="194" spans="1:12" ht="30.75" x14ac:dyDescent="0.25">
      <c r="A194" s="83" t="s">
        <v>315</v>
      </c>
      <c r="B194" s="213" t="s">
        <v>66</v>
      </c>
      <c r="C194" s="213" t="s">
        <v>7</v>
      </c>
      <c r="D194" s="83">
        <v>250</v>
      </c>
      <c r="E194" s="280">
        <v>77440</v>
      </c>
      <c r="F194" s="280">
        <v>1000</v>
      </c>
      <c r="G194" s="191" t="s">
        <v>140</v>
      </c>
      <c r="H194" s="292">
        <v>76440</v>
      </c>
      <c r="I194" s="292">
        <v>0</v>
      </c>
      <c r="J194" s="292">
        <v>0</v>
      </c>
      <c r="K194" s="292">
        <v>0</v>
      </c>
      <c r="L194" s="292">
        <v>76440</v>
      </c>
    </row>
    <row r="195" spans="1:12" ht="30.75" customHeight="1" x14ac:dyDescent="0.25">
      <c r="A195" s="83" t="s">
        <v>315</v>
      </c>
      <c r="B195" s="213" t="s">
        <v>453</v>
      </c>
      <c r="C195" s="213" t="s">
        <v>454</v>
      </c>
      <c r="D195" s="83">
        <v>370</v>
      </c>
      <c r="E195" s="280">
        <v>182254</v>
      </c>
      <c r="F195" s="280">
        <v>9975</v>
      </c>
      <c r="G195" s="191" t="s">
        <v>140</v>
      </c>
      <c r="H195" s="292">
        <v>172279</v>
      </c>
      <c r="I195" s="292">
        <v>0</v>
      </c>
      <c r="J195" s="292">
        <v>0</v>
      </c>
      <c r="K195" s="292">
        <v>0</v>
      </c>
      <c r="L195" s="292">
        <v>172279</v>
      </c>
    </row>
    <row r="196" spans="1:12" ht="30.75" customHeight="1" x14ac:dyDescent="0.25">
      <c r="A196" s="83" t="s">
        <v>315</v>
      </c>
      <c r="B196" s="213" t="s">
        <v>68</v>
      </c>
      <c r="C196" s="213" t="s">
        <v>9</v>
      </c>
      <c r="D196" s="83">
        <v>369</v>
      </c>
      <c r="E196" s="280">
        <v>20492440</v>
      </c>
      <c r="F196" s="280">
        <v>19244560</v>
      </c>
      <c r="G196" s="191" t="s">
        <v>140</v>
      </c>
      <c r="H196" s="292">
        <v>1247880</v>
      </c>
      <c r="I196" s="292">
        <v>1000</v>
      </c>
      <c r="J196" s="292">
        <v>0</v>
      </c>
      <c r="K196" s="292">
        <v>1000</v>
      </c>
      <c r="L196" s="292">
        <v>1246880</v>
      </c>
    </row>
    <row r="197" spans="1:12" ht="30.75" x14ac:dyDescent="0.25">
      <c r="A197" s="83" t="s">
        <v>315</v>
      </c>
      <c r="B197" s="213" t="s">
        <v>69</v>
      </c>
      <c r="C197" s="213" t="s">
        <v>10</v>
      </c>
      <c r="D197" s="83">
        <v>172</v>
      </c>
      <c r="E197" s="280">
        <v>8527</v>
      </c>
      <c r="F197" s="280">
        <v>1000</v>
      </c>
      <c r="G197" s="191" t="s">
        <v>140</v>
      </c>
      <c r="H197" s="292">
        <v>7527</v>
      </c>
      <c r="I197" s="292">
        <v>0</v>
      </c>
      <c r="J197" s="292">
        <v>0</v>
      </c>
      <c r="K197" s="292">
        <v>0</v>
      </c>
      <c r="L197" s="292">
        <v>7527</v>
      </c>
    </row>
    <row r="198" spans="1:12" ht="15.75" customHeight="1" x14ac:dyDescent="0.25">
      <c r="A198" s="83" t="s">
        <v>315</v>
      </c>
      <c r="B198" s="213" t="s">
        <v>470</v>
      </c>
      <c r="C198" s="213" t="s">
        <v>471</v>
      </c>
      <c r="D198" s="83">
        <v>309</v>
      </c>
      <c r="E198" s="280">
        <v>1289</v>
      </c>
      <c r="F198" s="280">
        <v>1000</v>
      </c>
      <c r="G198" s="191" t="s">
        <v>140</v>
      </c>
      <c r="H198" s="292">
        <v>289</v>
      </c>
      <c r="I198" s="292">
        <v>0</v>
      </c>
      <c r="J198" s="292">
        <v>0</v>
      </c>
      <c r="K198" s="292">
        <v>0</v>
      </c>
      <c r="L198" s="292">
        <v>289</v>
      </c>
    </row>
    <row r="199" spans="1:12" ht="30.75" customHeight="1" x14ac:dyDescent="0.25">
      <c r="A199" s="83" t="s">
        <v>315</v>
      </c>
      <c r="B199" s="213" t="s">
        <v>72</v>
      </c>
      <c r="C199" s="213" t="s">
        <v>13</v>
      </c>
      <c r="D199" s="83">
        <v>11</v>
      </c>
      <c r="E199" s="280">
        <v>287701</v>
      </c>
      <c r="F199" s="280">
        <v>76959</v>
      </c>
      <c r="G199" s="191" t="s">
        <v>140</v>
      </c>
      <c r="H199" s="292">
        <v>210742</v>
      </c>
      <c r="I199" s="292">
        <v>0</v>
      </c>
      <c r="J199" s="292">
        <v>0</v>
      </c>
      <c r="K199" s="292">
        <v>0</v>
      </c>
      <c r="L199" s="292">
        <v>210742</v>
      </c>
    </row>
    <row r="200" spans="1:12" ht="15.75" customHeight="1" x14ac:dyDescent="0.25">
      <c r="A200" s="83" t="s">
        <v>315</v>
      </c>
      <c r="B200" s="213" t="s">
        <v>73</v>
      </c>
      <c r="C200" s="213" t="s">
        <v>14</v>
      </c>
      <c r="D200" s="83">
        <v>313</v>
      </c>
      <c r="E200" s="280">
        <v>37448</v>
      </c>
      <c r="F200" s="280">
        <v>7612</v>
      </c>
      <c r="G200" s="191" t="s">
        <v>140</v>
      </c>
      <c r="H200" s="292">
        <v>29836</v>
      </c>
      <c r="I200" s="292">
        <v>0</v>
      </c>
      <c r="J200" s="292">
        <v>0</v>
      </c>
      <c r="K200" s="292">
        <v>0</v>
      </c>
      <c r="L200" s="292">
        <v>29836</v>
      </c>
    </row>
    <row r="201" spans="1:12" ht="30.75" customHeight="1" x14ac:dyDescent="0.25">
      <c r="A201" s="83" t="s">
        <v>315</v>
      </c>
      <c r="B201" s="213" t="s">
        <v>70</v>
      </c>
      <c r="C201" s="213" t="s">
        <v>11</v>
      </c>
      <c r="D201" s="83">
        <v>330</v>
      </c>
      <c r="E201" s="280">
        <v>69675</v>
      </c>
      <c r="F201" s="280">
        <v>9406</v>
      </c>
      <c r="G201" s="191" t="s">
        <v>140</v>
      </c>
      <c r="H201" s="292">
        <v>60269</v>
      </c>
      <c r="I201" s="292">
        <v>0</v>
      </c>
      <c r="J201" s="292">
        <v>0</v>
      </c>
      <c r="K201" s="292">
        <v>0</v>
      </c>
      <c r="L201" s="292">
        <v>60269</v>
      </c>
    </row>
    <row r="202" spans="1:12" ht="45.75" x14ac:dyDescent="0.25">
      <c r="A202" s="83" t="s">
        <v>315</v>
      </c>
      <c r="B202" s="213" t="s">
        <v>67</v>
      </c>
      <c r="C202" s="213" t="s">
        <v>8</v>
      </c>
      <c r="D202" s="83">
        <v>272</v>
      </c>
      <c r="E202" s="280">
        <v>34310</v>
      </c>
      <c r="F202" s="280">
        <v>2379</v>
      </c>
      <c r="G202" s="191" t="s">
        <v>140</v>
      </c>
      <c r="H202" s="292">
        <v>31931</v>
      </c>
      <c r="I202" s="292">
        <v>0</v>
      </c>
      <c r="J202" s="292">
        <v>0</v>
      </c>
      <c r="K202" s="292">
        <v>0</v>
      </c>
      <c r="L202" s="292">
        <v>31931</v>
      </c>
    </row>
    <row r="203" spans="1:12" ht="45.75" customHeight="1" x14ac:dyDescent="0.25">
      <c r="A203" s="83" t="s">
        <v>315</v>
      </c>
      <c r="B203" s="213" t="s">
        <v>82</v>
      </c>
      <c r="C203" s="213" t="s">
        <v>23</v>
      </c>
      <c r="D203" s="83">
        <v>276</v>
      </c>
      <c r="E203" s="280">
        <v>8772</v>
      </c>
      <c r="F203" s="280">
        <v>2009</v>
      </c>
      <c r="G203" s="191" t="s">
        <v>140</v>
      </c>
      <c r="H203" s="292">
        <v>6763</v>
      </c>
      <c r="I203" s="292">
        <v>0</v>
      </c>
      <c r="J203" s="292">
        <v>0</v>
      </c>
      <c r="K203" s="292">
        <v>0</v>
      </c>
      <c r="L203" s="292">
        <v>6763</v>
      </c>
    </row>
    <row r="204" spans="1:12" ht="75.75" customHeight="1" x14ac:dyDescent="0.25">
      <c r="A204" s="83" t="s">
        <v>315</v>
      </c>
      <c r="B204" s="213" t="s">
        <v>448</v>
      </c>
      <c r="C204" s="213" t="s">
        <v>449</v>
      </c>
      <c r="D204" s="83">
        <v>292</v>
      </c>
      <c r="E204" s="280">
        <v>76559</v>
      </c>
      <c r="F204" s="280">
        <v>18907</v>
      </c>
      <c r="G204" s="191" t="s">
        <v>140</v>
      </c>
      <c r="H204" s="292">
        <v>57652</v>
      </c>
      <c r="I204" s="292">
        <v>0</v>
      </c>
      <c r="J204" s="292">
        <v>0</v>
      </c>
      <c r="K204" s="292">
        <v>0</v>
      </c>
      <c r="L204" s="292">
        <v>57652</v>
      </c>
    </row>
    <row r="205" spans="1:12" ht="30.75" x14ac:dyDescent="0.25">
      <c r="A205" s="83" t="s">
        <v>315</v>
      </c>
      <c r="B205" s="213" t="s">
        <v>71</v>
      </c>
      <c r="C205" s="213" t="s">
        <v>12</v>
      </c>
      <c r="D205" s="83">
        <v>209</v>
      </c>
      <c r="E205" s="280">
        <v>46239</v>
      </c>
      <c r="F205" s="280">
        <v>1000</v>
      </c>
      <c r="G205" s="191" t="s">
        <v>140</v>
      </c>
      <c r="H205" s="292">
        <v>45239</v>
      </c>
      <c r="I205" s="292">
        <v>0</v>
      </c>
      <c r="J205" s="292">
        <v>0</v>
      </c>
      <c r="K205" s="292">
        <v>0</v>
      </c>
      <c r="L205" s="292">
        <v>45239</v>
      </c>
    </row>
    <row r="206" spans="1:12" x14ac:dyDescent="0.25">
      <c r="A206" s="83" t="s">
        <v>315</v>
      </c>
      <c r="B206" s="213" t="s">
        <v>74</v>
      </c>
      <c r="C206" s="213" t="s">
        <v>15</v>
      </c>
      <c r="D206" s="83">
        <v>183</v>
      </c>
      <c r="E206" s="280">
        <v>8422</v>
      </c>
      <c r="F206" s="280">
        <v>1000</v>
      </c>
      <c r="G206" s="191" t="s">
        <v>140</v>
      </c>
      <c r="H206" s="292">
        <v>7422</v>
      </c>
      <c r="I206" s="292">
        <v>0</v>
      </c>
      <c r="J206" s="292">
        <v>0</v>
      </c>
      <c r="K206" s="292">
        <v>0</v>
      </c>
      <c r="L206" s="292">
        <v>7422</v>
      </c>
    </row>
    <row r="207" spans="1:12" x14ac:dyDescent="0.25">
      <c r="A207" s="83" t="s">
        <v>315</v>
      </c>
      <c r="B207" s="213" t="s">
        <v>455</v>
      </c>
      <c r="C207" s="213" t="s">
        <v>456</v>
      </c>
      <c r="D207" s="83">
        <v>251</v>
      </c>
      <c r="E207" s="280">
        <v>4049</v>
      </c>
      <c r="F207" s="280">
        <v>2448</v>
      </c>
      <c r="G207" s="191" t="s">
        <v>140</v>
      </c>
      <c r="H207" s="292">
        <v>1601</v>
      </c>
      <c r="I207" s="292">
        <v>0</v>
      </c>
      <c r="J207" s="292">
        <v>0</v>
      </c>
      <c r="K207" s="292">
        <v>0</v>
      </c>
      <c r="L207" s="292">
        <v>1601</v>
      </c>
    </row>
    <row r="208" spans="1:12" x14ac:dyDescent="0.25">
      <c r="A208" s="83" t="s">
        <v>315</v>
      </c>
      <c r="B208" s="213" t="s">
        <v>75</v>
      </c>
      <c r="C208" s="213" t="s">
        <v>16</v>
      </c>
      <c r="D208" s="83">
        <v>192</v>
      </c>
      <c r="E208" s="280">
        <v>13092</v>
      </c>
      <c r="F208" s="280">
        <v>1000</v>
      </c>
      <c r="G208" s="191" t="s">
        <v>140</v>
      </c>
      <c r="H208" s="292">
        <v>12092</v>
      </c>
      <c r="I208" s="292">
        <v>0</v>
      </c>
      <c r="J208" s="292">
        <v>0</v>
      </c>
      <c r="K208" s="292">
        <v>0</v>
      </c>
      <c r="L208" s="292">
        <v>12092</v>
      </c>
    </row>
    <row r="209" spans="1:12" ht="30.75" x14ac:dyDescent="0.25">
      <c r="A209" s="83" t="s">
        <v>315</v>
      </c>
      <c r="B209" s="213" t="s">
        <v>76</v>
      </c>
      <c r="C209" s="213" t="s">
        <v>17</v>
      </c>
      <c r="D209" s="83">
        <v>297</v>
      </c>
      <c r="E209" s="280">
        <v>3902136</v>
      </c>
      <c r="F209" s="280">
        <v>289359</v>
      </c>
      <c r="G209" s="191" t="s">
        <v>140</v>
      </c>
      <c r="H209" s="292">
        <v>3612777</v>
      </c>
      <c r="I209" s="292">
        <v>0</v>
      </c>
      <c r="J209" s="292">
        <v>0</v>
      </c>
      <c r="K209" s="292">
        <v>0</v>
      </c>
      <c r="L209" s="292">
        <v>3612777</v>
      </c>
    </row>
    <row r="210" spans="1:12" x14ac:dyDescent="0.25">
      <c r="A210" s="83" t="s">
        <v>315</v>
      </c>
      <c r="B210" s="213" t="s">
        <v>77</v>
      </c>
      <c r="C210" s="213" t="s">
        <v>18</v>
      </c>
      <c r="D210" s="83">
        <v>166</v>
      </c>
      <c r="E210" s="280">
        <v>138669</v>
      </c>
      <c r="F210" s="280">
        <v>26866</v>
      </c>
      <c r="G210" s="191" t="s">
        <v>140</v>
      </c>
      <c r="H210" s="292">
        <v>111803</v>
      </c>
      <c r="I210" s="292">
        <v>0</v>
      </c>
      <c r="J210" s="292">
        <v>0</v>
      </c>
      <c r="K210" s="292">
        <v>0</v>
      </c>
      <c r="L210" s="292">
        <v>111803</v>
      </c>
    </row>
    <row r="211" spans="1:12" x14ac:dyDescent="0.25">
      <c r="A211" s="83" t="s">
        <v>315</v>
      </c>
      <c r="B211" s="213" t="s">
        <v>80</v>
      </c>
      <c r="C211" s="213" t="s">
        <v>21</v>
      </c>
      <c r="D211" s="83">
        <v>32</v>
      </c>
      <c r="E211" s="280">
        <v>29436</v>
      </c>
      <c r="F211" s="280">
        <v>6448</v>
      </c>
      <c r="G211" s="191" t="s">
        <v>140</v>
      </c>
      <c r="H211" s="292">
        <v>22988</v>
      </c>
      <c r="I211" s="292">
        <v>0</v>
      </c>
      <c r="J211" s="292">
        <v>0</v>
      </c>
      <c r="K211" s="292">
        <v>0</v>
      </c>
      <c r="L211" s="292">
        <v>22988</v>
      </c>
    </row>
    <row r="212" spans="1:12" ht="30.75" x14ac:dyDescent="0.25">
      <c r="A212" s="83" t="s">
        <v>315</v>
      </c>
      <c r="B212" s="213" t="s">
        <v>78</v>
      </c>
      <c r="C212" s="213" t="s">
        <v>19</v>
      </c>
      <c r="D212" s="83">
        <v>368</v>
      </c>
      <c r="E212" s="280">
        <v>22540</v>
      </c>
      <c r="F212" s="280">
        <v>9502</v>
      </c>
      <c r="G212" s="191" t="s">
        <v>140</v>
      </c>
      <c r="H212" s="292">
        <v>13038</v>
      </c>
      <c r="I212" s="292">
        <v>0</v>
      </c>
      <c r="J212" s="292">
        <v>0</v>
      </c>
      <c r="K212" s="292">
        <v>0</v>
      </c>
      <c r="L212" s="292">
        <v>13038</v>
      </c>
    </row>
    <row r="213" spans="1:12" x14ac:dyDescent="0.25">
      <c r="A213" s="83" t="s">
        <v>315</v>
      </c>
      <c r="B213" s="213" t="s">
        <v>79</v>
      </c>
      <c r="C213" s="213" t="s">
        <v>20</v>
      </c>
      <c r="D213" s="83">
        <v>357</v>
      </c>
      <c r="E213" s="280">
        <v>14241</v>
      </c>
      <c r="F213" s="280">
        <v>7325</v>
      </c>
      <c r="G213" s="191" t="s">
        <v>140</v>
      </c>
      <c r="H213" s="292">
        <v>6916</v>
      </c>
      <c r="I213" s="292">
        <v>0</v>
      </c>
      <c r="J213" s="292">
        <v>0</v>
      </c>
      <c r="K213" s="292">
        <v>0</v>
      </c>
      <c r="L213" s="292">
        <v>6916</v>
      </c>
    </row>
    <row r="214" spans="1:12" x14ac:dyDescent="0.25">
      <c r="A214" s="83" t="s">
        <v>315</v>
      </c>
      <c r="B214" s="213" t="s">
        <v>81</v>
      </c>
      <c r="C214" s="213" t="s">
        <v>22</v>
      </c>
      <c r="D214" s="83">
        <v>153</v>
      </c>
      <c r="E214" s="280">
        <v>13759</v>
      </c>
      <c r="F214" s="280">
        <v>1000</v>
      </c>
      <c r="G214" s="191" t="s">
        <v>140</v>
      </c>
      <c r="H214" s="292">
        <v>12759</v>
      </c>
      <c r="I214" s="292">
        <v>0</v>
      </c>
      <c r="J214" s="292">
        <v>0</v>
      </c>
      <c r="K214" s="292">
        <v>0</v>
      </c>
      <c r="L214" s="292">
        <v>12759</v>
      </c>
    </row>
    <row r="215" spans="1:12" x14ac:dyDescent="0.25">
      <c r="A215" s="83" t="s">
        <v>315</v>
      </c>
      <c r="B215" s="213" t="s">
        <v>457</v>
      </c>
      <c r="C215" s="213" t="s">
        <v>458</v>
      </c>
      <c r="D215" s="83">
        <v>155</v>
      </c>
      <c r="E215" s="280">
        <v>3353</v>
      </c>
      <c r="F215" s="280">
        <v>1000</v>
      </c>
      <c r="G215" s="191" t="s">
        <v>140</v>
      </c>
      <c r="H215" s="292">
        <v>2353</v>
      </c>
      <c r="I215" s="292">
        <v>0</v>
      </c>
      <c r="J215" s="292">
        <v>0</v>
      </c>
      <c r="K215" s="292">
        <v>0</v>
      </c>
      <c r="L215" s="292">
        <v>2353</v>
      </c>
    </row>
    <row r="216" spans="1:12" x14ac:dyDescent="0.25">
      <c r="A216" s="83" t="s">
        <v>315</v>
      </c>
      <c r="B216" s="213" t="s">
        <v>83</v>
      </c>
      <c r="C216" s="213" t="s">
        <v>17</v>
      </c>
      <c r="D216" s="83">
        <v>48</v>
      </c>
      <c r="E216" s="280">
        <v>184429</v>
      </c>
      <c r="F216" s="280">
        <v>38472</v>
      </c>
      <c r="G216" s="191" t="s">
        <v>140</v>
      </c>
      <c r="H216" s="292">
        <v>145957</v>
      </c>
      <c r="I216" s="292">
        <v>0</v>
      </c>
      <c r="J216" s="292">
        <v>0</v>
      </c>
      <c r="K216" s="292">
        <v>0</v>
      </c>
      <c r="L216" s="292">
        <v>145957</v>
      </c>
    </row>
    <row r="217" spans="1:12" x14ac:dyDescent="0.25">
      <c r="A217" s="83" t="s">
        <v>315</v>
      </c>
      <c r="B217" s="213" t="s">
        <v>84</v>
      </c>
      <c r="C217" s="213" t="s">
        <v>24</v>
      </c>
      <c r="D217" s="83">
        <v>350</v>
      </c>
      <c r="E217" s="280">
        <v>1371</v>
      </c>
      <c r="F217" s="280">
        <v>1000</v>
      </c>
      <c r="G217" s="191" t="s">
        <v>140</v>
      </c>
      <c r="H217" s="292">
        <v>371</v>
      </c>
      <c r="I217" s="292">
        <v>0</v>
      </c>
      <c r="J217" s="292">
        <v>0</v>
      </c>
      <c r="K217" s="292">
        <v>0</v>
      </c>
      <c r="L217" s="292">
        <v>371</v>
      </c>
    </row>
    <row r="218" spans="1:12" x14ac:dyDescent="0.25">
      <c r="A218" s="83" t="s">
        <v>315</v>
      </c>
      <c r="B218" s="213" t="s">
        <v>459</v>
      </c>
      <c r="C218" s="213" t="s">
        <v>460</v>
      </c>
      <c r="D218" s="83">
        <v>173</v>
      </c>
      <c r="E218" s="280">
        <v>27272</v>
      </c>
      <c r="F218" s="280">
        <v>6232</v>
      </c>
      <c r="G218" s="191" t="s">
        <v>140</v>
      </c>
      <c r="H218" s="292">
        <v>21040</v>
      </c>
      <c r="I218" s="292">
        <v>0</v>
      </c>
      <c r="J218" s="292">
        <v>0</v>
      </c>
      <c r="K218" s="292">
        <v>0</v>
      </c>
      <c r="L218" s="292">
        <v>21040</v>
      </c>
    </row>
    <row r="219" spans="1:12" ht="30.75" customHeight="1" x14ac:dyDescent="0.25">
      <c r="A219" s="83" t="s">
        <v>315</v>
      </c>
      <c r="B219" s="213" t="s">
        <v>466</v>
      </c>
      <c r="C219" s="213" t="s">
        <v>467</v>
      </c>
      <c r="D219" s="83">
        <v>261</v>
      </c>
      <c r="E219" s="280">
        <v>3728</v>
      </c>
      <c r="F219" s="280">
        <v>2385</v>
      </c>
      <c r="G219" s="191" t="s">
        <v>140</v>
      </c>
      <c r="H219" s="292">
        <v>1343</v>
      </c>
      <c r="I219" s="292">
        <v>0</v>
      </c>
      <c r="J219" s="292">
        <v>0</v>
      </c>
      <c r="K219" s="292">
        <v>0</v>
      </c>
      <c r="L219" s="292">
        <v>1343</v>
      </c>
    </row>
    <row r="220" spans="1:12" ht="15" customHeight="1" x14ac:dyDescent="0.25">
      <c r="A220" s="83" t="s">
        <v>315</v>
      </c>
      <c r="B220" s="213" t="s">
        <v>461</v>
      </c>
      <c r="C220" s="213" t="s">
        <v>25</v>
      </c>
      <c r="D220" s="83">
        <v>244</v>
      </c>
      <c r="E220" s="280">
        <v>10144</v>
      </c>
      <c r="F220" s="280">
        <v>2021</v>
      </c>
      <c r="G220" s="191" t="s">
        <v>140</v>
      </c>
      <c r="H220" s="292">
        <v>8123</v>
      </c>
      <c r="I220" s="292">
        <v>0</v>
      </c>
      <c r="J220" s="292">
        <v>0</v>
      </c>
      <c r="K220" s="292">
        <v>0</v>
      </c>
      <c r="L220" s="292">
        <v>8123</v>
      </c>
    </row>
    <row r="221" spans="1:12" ht="15" customHeight="1" x14ac:dyDescent="0.25">
      <c r="A221" s="83" t="s">
        <v>315</v>
      </c>
      <c r="B221" s="213" t="s">
        <v>85</v>
      </c>
      <c r="C221" s="213" t="s">
        <v>26</v>
      </c>
      <c r="D221" s="83">
        <v>171</v>
      </c>
      <c r="E221" s="280">
        <v>31113</v>
      </c>
      <c r="F221" s="280">
        <v>7778</v>
      </c>
      <c r="G221" s="191" t="s">
        <v>140</v>
      </c>
      <c r="H221" s="292">
        <v>23335</v>
      </c>
      <c r="I221" s="292">
        <v>0</v>
      </c>
      <c r="J221" s="292">
        <v>0</v>
      </c>
      <c r="K221" s="292">
        <v>0</v>
      </c>
      <c r="L221" s="292">
        <v>23335</v>
      </c>
    </row>
    <row r="222" spans="1:12" ht="15" customHeight="1" x14ac:dyDescent="0.25">
      <c r="A222" s="83" t="s">
        <v>315</v>
      </c>
      <c r="B222" s="213" t="s">
        <v>86</v>
      </c>
      <c r="C222" s="213" t="s">
        <v>25</v>
      </c>
      <c r="D222" s="83">
        <v>258</v>
      </c>
      <c r="E222" s="280">
        <v>67141</v>
      </c>
      <c r="F222" s="280">
        <v>7407</v>
      </c>
      <c r="G222" s="191" t="s">
        <v>140</v>
      </c>
      <c r="H222" s="292">
        <v>59734</v>
      </c>
      <c r="I222" s="292">
        <v>0</v>
      </c>
      <c r="J222" s="292">
        <v>0</v>
      </c>
      <c r="K222" s="292">
        <v>0</v>
      </c>
      <c r="L222" s="292">
        <v>59734</v>
      </c>
    </row>
    <row r="223" spans="1:12" x14ac:dyDescent="0.25">
      <c r="A223" s="83" t="s">
        <v>315</v>
      </c>
      <c r="B223" s="213" t="s">
        <v>87</v>
      </c>
      <c r="C223" s="213" t="s">
        <v>17</v>
      </c>
      <c r="D223" s="83">
        <v>260</v>
      </c>
      <c r="E223" s="280">
        <v>220445</v>
      </c>
      <c r="F223" s="280">
        <v>39867</v>
      </c>
      <c r="G223" s="191" t="s">
        <v>140</v>
      </c>
      <c r="H223" s="292">
        <v>180578</v>
      </c>
      <c r="I223" s="292">
        <v>0</v>
      </c>
      <c r="J223" s="292">
        <v>0</v>
      </c>
      <c r="K223" s="292">
        <v>0</v>
      </c>
      <c r="L223" s="292">
        <v>180578</v>
      </c>
    </row>
    <row r="224" spans="1:12" ht="30.75" x14ac:dyDescent="0.25">
      <c r="A224" s="83" t="s">
        <v>315</v>
      </c>
      <c r="B224" s="213" t="s">
        <v>88</v>
      </c>
      <c r="C224" s="213" t="s">
        <v>27</v>
      </c>
      <c r="D224" s="83">
        <v>367</v>
      </c>
      <c r="E224" s="280">
        <v>10347297</v>
      </c>
      <c r="F224" s="280">
        <v>7537292</v>
      </c>
      <c r="G224" s="191" t="s">
        <v>140</v>
      </c>
      <c r="H224" s="292">
        <v>2810005</v>
      </c>
      <c r="I224" s="292">
        <v>0</v>
      </c>
      <c r="J224" s="292">
        <v>0</v>
      </c>
      <c r="K224" s="292">
        <v>0</v>
      </c>
      <c r="L224" s="292">
        <v>2810005</v>
      </c>
    </row>
    <row r="225" spans="1:12" x14ac:dyDescent="0.25">
      <c r="A225" s="83" t="s">
        <v>315</v>
      </c>
      <c r="B225" s="213" t="s">
        <v>89</v>
      </c>
      <c r="C225" s="213" t="s">
        <v>28</v>
      </c>
      <c r="D225" s="83">
        <v>351</v>
      </c>
      <c r="E225" s="280">
        <v>18910</v>
      </c>
      <c r="F225" s="280">
        <v>8205</v>
      </c>
      <c r="G225" s="191" t="s">
        <v>140</v>
      </c>
      <c r="H225" s="292">
        <v>10705</v>
      </c>
      <c r="I225" s="292">
        <v>0</v>
      </c>
      <c r="J225" s="292">
        <v>0</v>
      </c>
      <c r="K225" s="292">
        <v>0</v>
      </c>
      <c r="L225" s="292">
        <v>10705</v>
      </c>
    </row>
    <row r="226" spans="1:12" ht="15.75" customHeight="1" x14ac:dyDescent="0.25">
      <c r="A226" s="202" t="s">
        <v>316</v>
      </c>
      <c r="B226" s="218" t="s">
        <v>140</v>
      </c>
      <c r="C226" s="218" t="s">
        <v>140</v>
      </c>
      <c r="D226" s="218" t="s">
        <v>140</v>
      </c>
      <c r="E226" s="244">
        <f>SUBTOTAL(109,school201516[Program
Costs])</f>
        <v>36385291</v>
      </c>
      <c r="F226" s="244">
        <f>SUBTOTAL(109,school201516[Less: Net Payments and Offsets2])</f>
        <v>27373414</v>
      </c>
      <c r="G226" s="218" t="s">
        <v>140</v>
      </c>
      <c r="H226" s="244">
        <f>SUBTOTAL(109,school201516[Accounts Payable
Balance])</f>
        <v>9011877</v>
      </c>
      <c r="I226" s="244">
        <f>SUBTOTAL(109,school201516[Established
Accounts Receivable])</f>
        <v>1000</v>
      </c>
      <c r="J226" s="244">
        <f>SUBTOTAL(109,school201516[Less: Recovered Amount])</f>
        <v>0</v>
      </c>
      <c r="K226" s="244">
        <f>SUBTOTAL(109,school201516[Accounts Receivable
Balance])</f>
        <v>1000</v>
      </c>
      <c r="L226" s="244">
        <f>SUBTOTAL(109,school201516[Net
Balance])</f>
        <v>9010877</v>
      </c>
    </row>
    <row r="227" spans="1:12" x14ac:dyDescent="0.25">
      <c r="A227" s="195" t="s">
        <v>141</v>
      </c>
      <c r="B227" s="142"/>
      <c r="C227" s="142"/>
      <c r="D227" s="142"/>
      <c r="E227" s="26"/>
      <c r="F227" s="26"/>
      <c r="G227" s="196"/>
      <c r="H227" s="26"/>
      <c r="I227" s="26"/>
      <c r="J227" s="26"/>
      <c r="K227" s="26"/>
      <c r="L227" s="26"/>
    </row>
    <row r="228" spans="1:12" ht="50.1" customHeight="1" x14ac:dyDescent="0.25">
      <c r="A228" s="10" t="s">
        <v>5</v>
      </c>
      <c r="B228" s="10" t="s">
        <v>6</v>
      </c>
      <c r="C228" s="10" t="s">
        <v>0</v>
      </c>
      <c r="D228" s="10" t="s">
        <v>441</v>
      </c>
      <c r="E228" s="215" t="s">
        <v>234</v>
      </c>
      <c r="F228" s="216" t="s">
        <v>452</v>
      </c>
      <c r="G228" s="217" t="s">
        <v>142</v>
      </c>
      <c r="H228" s="215" t="s">
        <v>444</v>
      </c>
      <c r="I228" s="215" t="s">
        <v>445</v>
      </c>
      <c r="J228" s="215" t="s">
        <v>446</v>
      </c>
      <c r="K228" s="215" t="s">
        <v>447</v>
      </c>
      <c r="L228" s="215" t="s">
        <v>305</v>
      </c>
    </row>
    <row r="229" spans="1:12" x14ac:dyDescent="0.25">
      <c r="A229" s="83" t="s">
        <v>317</v>
      </c>
      <c r="B229" s="213" t="s">
        <v>468</v>
      </c>
      <c r="C229" s="213" t="s">
        <v>469</v>
      </c>
      <c r="D229" s="83">
        <v>305</v>
      </c>
      <c r="E229" s="280">
        <v>1182</v>
      </c>
      <c r="F229" s="280">
        <v>1000</v>
      </c>
      <c r="G229" s="191" t="s">
        <v>140</v>
      </c>
      <c r="H229" s="292">
        <v>182</v>
      </c>
      <c r="I229" s="292">
        <v>0</v>
      </c>
      <c r="J229" s="292">
        <v>0</v>
      </c>
      <c r="K229" s="292">
        <v>0</v>
      </c>
      <c r="L229" s="292">
        <v>182</v>
      </c>
    </row>
    <row r="230" spans="1:12" ht="15" customHeight="1" x14ac:dyDescent="0.25">
      <c r="A230" s="83" t="s">
        <v>317</v>
      </c>
      <c r="B230" s="213" t="s">
        <v>66</v>
      </c>
      <c r="C230" s="213" t="s">
        <v>7</v>
      </c>
      <c r="D230" s="83">
        <v>250</v>
      </c>
      <c r="E230" s="280">
        <v>68462</v>
      </c>
      <c r="F230" s="280">
        <v>4554</v>
      </c>
      <c r="G230" s="191" t="s">
        <v>140</v>
      </c>
      <c r="H230" s="292">
        <v>63908</v>
      </c>
      <c r="I230" s="292">
        <v>0</v>
      </c>
      <c r="J230" s="292">
        <v>0</v>
      </c>
      <c r="K230" s="292">
        <v>0</v>
      </c>
      <c r="L230" s="292">
        <v>63908</v>
      </c>
    </row>
    <row r="231" spans="1:12" ht="30.75" customHeight="1" x14ac:dyDescent="0.25">
      <c r="A231" s="83" t="s">
        <v>317</v>
      </c>
      <c r="B231" s="213" t="s">
        <v>68</v>
      </c>
      <c r="C231" s="213" t="s">
        <v>9</v>
      </c>
      <c r="D231" s="83">
        <v>369</v>
      </c>
      <c r="E231" s="280">
        <v>44698001</v>
      </c>
      <c r="F231" s="280">
        <v>43291932</v>
      </c>
      <c r="G231" s="191" t="s">
        <v>140</v>
      </c>
      <c r="H231" s="292">
        <v>1406069</v>
      </c>
      <c r="I231" s="292">
        <v>416801</v>
      </c>
      <c r="J231" s="292">
        <v>416801</v>
      </c>
      <c r="K231" s="292">
        <v>0</v>
      </c>
      <c r="L231" s="292">
        <v>1406069</v>
      </c>
    </row>
    <row r="232" spans="1:12" ht="30.75" x14ac:dyDescent="0.25">
      <c r="A232" s="83" t="s">
        <v>317</v>
      </c>
      <c r="B232" s="213" t="s">
        <v>69</v>
      </c>
      <c r="C232" s="213" t="s">
        <v>10</v>
      </c>
      <c r="D232" s="83">
        <v>172</v>
      </c>
      <c r="E232" s="280">
        <v>51776</v>
      </c>
      <c r="F232" s="280">
        <v>21615</v>
      </c>
      <c r="G232" s="191" t="s">
        <v>140</v>
      </c>
      <c r="H232" s="292">
        <v>30161</v>
      </c>
      <c r="I232" s="292">
        <v>0</v>
      </c>
      <c r="J232" s="292">
        <v>0</v>
      </c>
      <c r="K232" s="292">
        <v>0</v>
      </c>
      <c r="L232" s="292">
        <v>30161</v>
      </c>
    </row>
    <row r="233" spans="1:12" x14ac:dyDescent="0.25">
      <c r="A233" s="83" t="s">
        <v>317</v>
      </c>
      <c r="B233" s="213" t="s">
        <v>464</v>
      </c>
      <c r="C233" s="213" t="s">
        <v>465</v>
      </c>
      <c r="D233" s="83">
        <v>278</v>
      </c>
      <c r="E233" s="280">
        <v>80581</v>
      </c>
      <c r="F233" s="280">
        <v>1000</v>
      </c>
      <c r="G233" s="191" t="s">
        <v>140</v>
      </c>
      <c r="H233" s="292">
        <v>79581</v>
      </c>
      <c r="I233" s="292">
        <v>0</v>
      </c>
      <c r="J233" s="292">
        <v>0</v>
      </c>
      <c r="K233" s="292">
        <v>0</v>
      </c>
      <c r="L233" s="292">
        <v>79581</v>
      </c>
    </row>
    <row r="234" spans="1:12" ht="15.75" customHeight="1" x14ac:dyDescent="0.25">
      <c r="A234" s="83" t="s">
        <v>317</v>
      </c>
      <c r="B234" s="213" t="s">
        <v>470</v>
      </c>
      <c r="C234" s="213" t="s">
        <v>471</v>
      </c>
      <c r="D234" s="83">
        <v>309</v>
      </c>
      <c r="E234" s="280">
        <v>1367</v>
      </c>
      <c r="F234" s="280">
        <v>1000</v>
      </c>
      <c r="G234" s="191" t="s">
        <v>140</v>
      </c>
      <c r="H234" s="292">
        <v>367</v>
      </c>
      <c r="I234" s="292">
        <v>0</v>
      </c>
      <c r="J234" s="292">
        <v>0</v>
      </c>
      <c r="K234" s="292">
        <v>0</v>
      </c>
      <c r="L234" s="292">
        <v>367</v>
      </c>
    </row>
    <row r="235" spans="1:12" ht="30.75" customHeight="1" x14ac:dyDescent="0.25">
      <c r="A235" s="83" t="s">
        <v>317</v>
      </c>
      <c r="B235" s="213" t="s">
        <v>72</v>
      </c>
      <c r="C235" s="213" t="s">
        <v>13</v>
      </c>
      <c r="D235" s="83">
        <v>11</v>
      </c>
      <c r="E235" s="280">
        <v>996242</v>
      </c>
      <c r="F235" s="280">
        <v>356650</v>
      </c>
      <c r="G235" s="191" t="s">
        <v>140</v>
      </c>
      <c r="H235" s="292">
        <v>639592</v>
      </c>
      <c r="I235" s="292">
        <v>0</v>
      </c>
      <c r="J235" s="292">
        <v>0</v>
      </c>
      <c r="K235" s="292">
        <v>0</v>
      </c>
      <c r="L235" s="292">
        <v>639592</v>
      </c>
    </row>
    <row r="236" spans="1:12" ht="15.75" customHeight="1" x14ac:dyDescent="0.25">
      <c r="A236" s="83" t="s">
        <v>317</v>
      </c>
      <c r="B236" s="213" t="s">
        <v>73</v>
      </c>
      <c r="C236" s="213" t="s">
        <v>14</v>
      </c>
      <c r="D236" s="83">
        <v>313</v>
      </c>
      <c r="E236" s="280">
        <v>191328</v>
      </c>
      <c r="F236" s="280">
        <v>38911</v>
      </c>
      <c r="G236" s="191" t="s">
        <v>140</v>
      </c>
      <c r="H236" s="292">
        <v>152417</v>
      </c>
      <c r="I236" s="292">
        <v>0</v>
      </c>
      <c r="J236" s="292">
        <v>0</v>
      </c>
      <c r="K236" s="292">
        <v>0</v>
      </c>
      <c r="L236" s="292">
        <v>152417</v>
      </c>
    </row>
    <row r="237" spans="1:12" ht="30.75" customHeight="1" x14ac:dyDescent="0.25">
      <c r="A237" s="83" t="s">
        <v>317</v>
      </c>
      <c r="B237" s="213" t="s">
        <v>70</v>
      </c>
      <c r="C237" s="213" t="s">
        <v>11</v>
      </c>
      <c r="D237" s="83">
        <v>330</v>
      </c>
      <c r="E237" s="280">
        <v>160841</v>
      </c>
      <c r="F237" s="280">
        <v>36297</v>
      </c>
      <c r="G237" s="191" t="s">
        <v>140</v>
      </c>
      <c r="H237" s="292">
        <v>124544</v>
      </c>
      <c r="I237" s="292">
        <v>0</v>
      </c>
      <c r="J237" s="292">
        <v>0</v>
      </c>
      <c r="K237" s="292">
        <v>0</v>
      </c>
      <c r="L237" s="292">
        <v>124544</v>
      </c>
    </row>
    <row r="238" spans="1:12" ht="45.75" x14ac:dyDescent="0.25">
      <c r="A238" s="83" t="s">
        <v>317</v>
      </c>
      <c r="B238" s="213" t="s">
        <v>67</v>
      </c>
      <c r="C238" s="213" t="s">
        <v>8</v>
      </c>
      <c r="D238" s="83">
        <v>272</v>
      </c>
      <c r="E238" s="280">
        <v>212691</v>
      </c>
      <c r="F238" s="280">
        <v>34030</v>
      </c>
      <c r="G238" s="191" t="s">
        <v>140</v>
      </c>
      <c r="H238" s="292">
        <v>178661</v>
      </c>
      <c r="I238" s="292">
        <v>0</v>
      </c>
      <c r="J238" s="292">
        <v>0</v>
      </c>
      <c r="K238" s="292">
        <v>0</v>
      </c>
      <c r="L238" s="292">
        <v>178661</v>
      </c>
    </row>
    <row r="239" spans="1:12" ht="45.75" customHeight="1" x14ac:dyDescent="0.25">
      <c r="A239" s="83" t="s">
        <v>317</v>
      </c>
      <c r="B239" s="213" t="s">
        <v>82</v>
      </c>
      <c r="C239" s="213" t="s">
        <v>23</v>
      </c>
      <c r="D239" s="83">
        <v>276</v>
      </c>
      <c r="E239" s="280">
        <v>84258</v>
      </c>
      <c r="F239" s="280">
        <v>2880</v>
      </c>
      <c r="G239" s="191" t="s">
        <v>140</v>
      </c>
      <c r="H239" s="292">
        <v>81378</v>
      </c>
      <c r="I239" s="292">
        <v>0</v>
      </c>
      <c r="J239" s="292">
        <v>0</v>
      </c>
      <c r="K239" s="292">
        <v>0</v>
      </c>
      <c r="L239" s="292">
        <v>81378</v>
      </c>
    </row>
    <row r="240" spans="1:12" ht="75.75" customHeight="1" x14ac:dyDescent="0.25">
      <c r="A240" s="83" t="s">
        <v>317</v>
      </c>
      <c r="B240" s="213" t="s">
        <v>448</v>
      </c>
      <c r="C240" s="213" t="s">
        <v>449</v>
      </c>
      <c r="D240" s="83">
        <v>292</v>
      </c>
      <c r="E240" s="280">
        <v>566786</v>
      </c>
      <c r="F240" s="280">
        <v>49899</v>
      </c>
      <c r="G240" s="191" t="s">
        <v>140</v>
      </c>
      <c r="H240" s="292">
        <v>516887</v>
      </c>
      <c r="I240" s="292">
        <v>0</v>
      </c>
      <c r="J240" s="292">
        <v>0</v>
      </c>
      <c r="K240" s="292">
        <v>0</v>
      </c>
      <c r="L240" s="292">
        <v>516887</v>
      </c>
    </row>
    <row r="241" spans="1:12" ht="30.75" x14ac:dyDescent="0.25">
      <c r="A241" s="83" t="s">
        <v>317</v>
      </c>
      <c r="B241" s="213" t="s">
        <v>71</v>
      </c>
      <c r="C241" s="213" t="s">
        <v>12</v>
      </c>
      <c r="D241" s="83">
        <v>209</v>
      </c>
      <c r="E241" s="280">
        <v>93729</v>
      </c>
      <c r="F241" s="280">
        <v>1000</v>
      </c>
      <c r="G241" s="191" t="s">
        <v>140</v>
      </c>
      <c r="H241" s="292">
        <v>92729</v>
      </c>
      <c r="I241" s="292">
        <v>0</v>
      </c>
      <c r="J241" s="292">
        <v>0</v>
      </c>
      <c r="K241" s="292">
        <v>0</v>
      </c>
      <c r="L241" s="292">
        <v>92729</v>
      </c>
    </row>
    <row r="242" spans="1:12" x14ac:dyDescent="0.25">
      <c r="A242" s="83" t="s">
        <v>317</v>
      </c>
      <c r="B242" s="213" t="s">
        <v>74</v>
      </c>
      <c r="C242" s="213" t="s">
        <v>15</v>
      </c>
      <c r="D242" s="83">
        <v>183</v>
      </c>
      <c r="E242" s="280">
        <v>53366</v>
      </c>
      <c r="F242" s="280">
        <v>15888</v>
      </c>
      <c r="G242" s="191" t="s">
        <v>140</v>
      </c>
      <c r="H242" s="292">
        <v>37478</v>
      </c>
      <c r="I242" s="292">
        <v>0</v>
      </c>
      <c r="J242" s="292">
        <v>0</v>
      </c>
      <c r="K242" s="292">
        <v>0</v>
      </c>
      <c r="L242" s="292">
        <v>37478</v>
      </c>
    </row>
    <row r="243" spans="1:12" x14ac:dyDescent="0.25">
      <c r="A243" s="83" t="s">
        <v>317</v>
      </c>
      <c r="B243" s="213" t="s">
        <v>455</v>
      </c>
      <c r="C243" s="213" t="s">
        <v>456</v>
      </c>
      <c r="D243" s="83">
        <v>251</v>
      </c>
      <c r="E243" s="280">
        <v>12287</v>
      </c>
      <c r="F243" s="280">
        <v>5287</v>
      </c>
      <c r="G243" s="191" t="s">
        <v>140</v>
      </c>
      <c r="H243" s="292">
        <v>7000</v>
      </c>
      <c r="I243" s="292">
        <v>0</v>
      </c>
      <c r="J243" s="292">
        <v>0</v>
      </c>
      <c r="K243" s="292">
        <v>0</v>
      </c>
      <c r="L243" s="292">
        <v>7000</v>
      </c>
    </row>
    <row r="244" spans="1:12" ht="30.75" x14ac:dyDescent="0.25">
      <c r="A244" s="83" t="s">
        <v>317</v>
      </c>
      <c r="B244" s="213" t="s">
        <v>472</v>
      </c>
      <c r="C244" s="213" t="s">
        <v>11</v>
      </c>
      <c r="D244" s="83">
        <v>91</v>
      </c>
      <c r="E244" s="280">
        <v>2373</v>
      </c>
      <c r="F244" s="280">
        <v>1321</v>
      </c>
      <c r="G244" s="191" t="s">
        <v>140</v>
      </c>
      <c r="H244" s="292">
        <v>1052</v>
      </c>
      <c r="I244" s="292">
        <v>0</v>
      </c>
      <c r="J244" s="292">
        <v>0</v>
      </c>
      <c r="K244" s="292">
        <v>0</v>
      </c>
      <c r="L244" s="292">
        <v>1052</v>
      </c>
    </row>
    <row r="245" spans="1:12" x14ac:dyDescent="0.25">
      <c r="A245" s="83" t="s">
        <v>317</v>
      </c>
      <c r="B245" s="213" t="s">
        <v>75</v>
      </c>
      <c r="C245" s="213" t="s">
        <v>16</v>
      </c>
      <c r="D245" s="83">
        <v>192</v>
      </c>
      <c r="E245" s="280">
        <v>28693</v>
      </c>
      <c r="F245" s="280">
        <v>9017</v>
      </c>
      <c r="G245" s="191" t="s">
        <v>140</v>
      </c>
      <c r="H245" s="292">
        <v>19676</v>
      </c>
      <c r="I245" s="292">
        <v>0</v>
      </c>
      <c r="J245" s="292">
        <v>0</v>
      </c>
      <c r="K245" s="292">
        <v>0</v>
      </c>
      <c r="L245" s="292">
        <v>19676</v>
      </c>
    </row>
    <row r="246" spans="1:12" ht="30.75" x14ac:dyDescent="0.25">
      <c r="A246" s="83" t="s">
        <v>317</v>
      </c>
      <c r="B246" s="213" t="s">
        <v>76</v>
      </c>
      <c r="C246" s="213" t="s">
        <v>17</v>
      </c>
      <c r="D246" s="83">
        <v>297</v>
      </c>
      <c r="E246" s="280">
        <v>13562903</v>
      </c>
      <c r="F246" s="280">
        <v>3136370</v>
      </c>
      <c r="G246" s="191" t="s">
        <v>140</v>
      </c>
      <c r="H246" s="292">
        <v>10426533</v>
      </c>
      <c r="I246" s="292">
        <v>0</v>
      </c>
      <c r="J246" s="292">
        <v>0</v>
      </c>
      <c r="K246" s="292">
        <v>0</v>
      </c>
      <c r="L246" s="292">
        <v>10426533</v>
      </c>
    </row>
    <row r="247" spans="1:12" x14ac:dyDescent="0.25">
      <c r="A247" s="83" t="s">
        <v>317</v>
      </c>
      <c r="B247" s="213" t="s">
        <v>77</v>
      </c>
      <c r="C247" s="213" t="s">
        <v>18</v>
      </c>
      <c r="D247" s="83">
        <v>166</v>
      </c>
      <c r="E247" s="280">
        <v>1046928</v>
      </c>
      <c r="F247" s="280">
        <v>447482</v>
      </c>
      <c r="G247" s="191" t="s">
        <v>140</v>
      </c>
      <c r="H247" s="292">
        <v>599446</v>
      </c>
      <c r="I247" s="292">
        <v>0</v>
      </c>
      <c r="J247" s="292">
        <v>0</v>
      </c>
      <c r="K247" s="292">
        <v>0</v>
      </c>
      <c r="L247" s="292">
        <v>599446</v>
      </c>
    </row>
    <row r="248" spans="1:12" x14ac:dyDescent="0.25">
      <c r="A248" s="83" t="s">
        <v>317</v>
      </c>
      <c r="B248" s="213" t="s">
        <v>473</v>
      </c>
      <c r="C248" s="213" t="s">
        <v>474</v>
      </c>
      <c r="D248" s="83">
        <v>268</v>
      </c>
      <c r="E248" s="280">
        <v>613754</v>
      </c>
      <c r="F248" s="280">
        <v>14822</v>
      </c>
      <c r="G248" s="191" t="s">
        <v>140</v>
      </c>
      <c r="H248" s="292">
        <v>598932</v>
      </c>
      <c r="I248" s="292">
        <v>0</v>
      </c>
      <c r="J248" s="292">
        <v>0</v>
      </c>
      <c r="K248" s="292">
        <v>0</v>
      </c>
      <c r="L248" s="292">
        <v>598932</v>
      </c>
    </row>
    <row r="249" spans="1:12" x14ac:dyDescent="0.25">
      <c r="A249" s="83" t="s">
        <v>317</v>
      </c>
      <c r="B249" s="213" t="s">
        <v>80</v>
      </c>
      <c r="C249" s="213" t="s">
        <v>21</v>
      </c>
      <c r="D249" s="83">
        <v>32</v>
      </c>
      <c r="E249" s="280">
        <v>224251</v>
      </c>
      <c r="F249" s="280">
        <v>87827</v>
      </c>
      <c r="G249" s="191" t="s">
        <v>140</v>
      </c>
      <c r="H249" s="292">
        <v>136424</v>
      </c>
      <c r="I249" s="292">
        <v>0</v>
      </c>
      <c r="J249" s="292">
        <v>0</v>
      </c>
      <c r="K249" s="292">
        <v>0</v>
      </c>
      <c r="L249" s="292">
        <v>136424</v>
      </c>
    </row>
    <row r="250" spans="1:12" ht="30.75" x14ac:dyDescent="0.25">
      <c r="A250" s="83" t="s">
        <v>317</v>
      </c>
      <c r="B250" s="213" t="s">
        <v>78</v>
      </c>
      <c r="C250" s="213" t="s">
        <v>19</v>
      </c>
      <c r="D250" s="83">
        <v>368</v>
      </c>
      <c r="E250" s="280">
        <v>196527</v>
      </c>
      <c r="F250" s="280">
        <v>95748</v>
      </c>
      <c r="G250" s="191" t="s">
        <v>140</v>
      </c>
      <c r="H250" s="292">
        <v>100779</v>
      </c>
      <c r="I250" s="292">
        <v>0</v>
      </c>
      <c r="J250" s="292">
        <v>0</v>
      </c>
      <c r="K250" s="292">
        <v>0</v>
      </c>
      <c r="L250" s="292">
        <v>100779</v>
      </c>
    </row>
    <row r="251" spans="1:12" x14ac:dyDescent="0.25">
      <c r="A251" s="83" t="s">
        <v>317</v>
      </c>
      <c r="B251" s="213" t="s">
        <v>79</v>
      </c>
      <c r="C251" s="213" t="s">
        <v>20</v>
      </c>
      <c r="D251" s="83">
        <v>357</v>
      </c>
      <c r="E251" s="280">
        <v>2619669</v>
      </c>
      <c r="F251" s="280">
        <v>2175080</v>
      </c>
      <c r="G251" s="191" t="s">
        <v>140</v>
      </c>
      <c r="H251" s="292">
        <v>444589</v>
      </c>
      <c r="I251" s="292">
        <v>0</v>
      </c>
      <c r="J251" s="292">
        <v>0</v>
      </c>
      <c r="K251" s="292">
        <v>0</v>
      </c>
      <c r="L251" s="292">
        <v>444589</v>
      </c>
    </row>
    <row r="252" spans="1:12" x14ac:dyDescent="0.25">
      <c r="A252" s="83" t="s">
        <v>317</v>
      </c>
      <c r="B252" s="213" t="s">
        <v>475</v>
      </c>
      <c r="C252" s="213" t="s">
        <v>476</v>
      </c>
      <c r="D252" s="83">
        <v>148</v>
      </c>
      <c r="E252" s="280">
        <v>8713</v>
      </c>
      <c r="F252" s="280">
        <v>1000</v>
      </c>
      <c r="G252" s="191" t="s">
        <v>140</v>
      </c>
      <c r="H252" s="292">
        <v>7713</v>
      </c>
      <c r="I252" s="292">
        <v>0</v>
      </c>
      <c r="J252" s="292">
        <v>0</v>
      </c>
      <c r="K252" s="292">
        <v>0</v>
      </c>
      <c r="L252" s="292">
        <v>7713</v>
      </c>
    </row>
    <row r="253" spans="1:12" x14ac:dyDescent="0.25">
      <c r="A253" s="83" t="s">
        <v>317</v>
      </c>
      <c r="B253" s="213" t="s">
        <v>81</v>
      </c>
      <c r="C253" s="213" t="s">
        <v>22</v>
      </c>
      <c r="D253" s="83">
        <v>153</v>
      </c>
      <c r="E253" s="280">
        <v>137810</v>
      </c>
      <c r="F253" s="280">
        <v>36419</v>
      </c>
      <c r="G253" s="191" t="s">
        <v>140</v>
      </c>
      <c r="H253" s="292">
        <v>101391</v>
      </c>
      <c r="I253" s="292">
        <v>0</v>
      </c>
      <c r="J253" s="292">
        <v>0</v>
      </c>
      <c r="K253" s="292">
        <v>0</v>
      </c>
      <c r="L253" s="292">
        <v>101391</v>
      </c>
    </row>
    <row r="254" spans="1:12" x14ac:dyDescent="0.25">
      <c r="A254" s="83" t="s">
        <v>317</v>
      </c>
      <c r="B254" s="213" t="s">
        <v>457</v>
      </c>
      <c r="C254" s="213" t="s">
        <v>458</v>
      </c>
      <c r="D254" s="83">
        <v>155</v>
      </c>
      <c r="E254" s="280">
        <v>222555</v>
      </c>
      <c r="F254" s="280">
        <v>2931</v>
      </c>
      <c r="G254" s="191" t="s">
        <v>140</v>
      </c>
      <c r="H254" s="292">
        <v>219624</v>
      </c>
      <c r="I254" s="292">
        <v>0</v>
      </c>
      <c r="J254" s="292">
        <v>0</v>
      </c>
      <c r="K254" s="292">
        <v>0</v>
      </c>
      <c r="L254" s="292">
        <v>219624</v>
      </c>
    </row>
    <row r="255" spans="1:12" x14ac:dyDescent="0.25">
      <c r="A255" s="83" t="s">
        <v>317</v>
      </c>
      <c r="B255" s="213" t="s">
        <v>83</v>
      </c>
      <c r="C255" s="213" t="s">
        <v>17</v>
      </c>
      <c r="D255" s="83">
        <v>48</v>
      </c>
      <c r="E255" s="280">
        <v>1589869</v>
      </c>
      <c r="F255" s="280">
        <v>835468</v>
      </c>
      <c r="G255" s="191" t="s">
        <v>140</v>
      </c>
      <c r="H255" s="292">
        <v>754401</v>
      </c>
      <c r="I255" s="292">
        <v>0</v>
      </c>
      <c r="J255" s="292">
        <v>0</v>
      </c>
      <c r="K255" s="292">
        <v>0</v>
      </c>
      <c r="L255" s="292">
        <v>754401</v>
      </c>
    </row>
    <row r="256" spans="1:12" x14ac:dyDescent="0.25">
      <c r="A256" s="83" t="s">
        <v>317</v>
      </c>
      <c r="B256" s="213" t="s">
        <v>84</v>
      </c>
      <c r="C256" s="213" t="s">
        <v>24</v>
      </c>
      <c r="D256" s="83">
        <v>350</v>
      </c>
      <c r="E256" s="280">
        <v>34239</v>
      </c>
      <c r="F256" s="280">
        <v>9495</v>
      </c>
      <c r="G256" s="191" t="s">
        <v>140</v>
      </c>
      <c r="H256" s="292">
        <v>24744</v>
      </c>
      <c r="I256" s="292">
        <v>0</v>
      </c>
      <c r="J256" s="292">
        <v>0</v>
      </c>
      <c r="K256" s="292">
        <v>0</v>
      </c>
      <c r="L256" s="292">
        <v>24744</v>
      </c>
    </row>
    <row r="257" spans="1:12" x14ac:dyDescent="0.25">
      <c r="A257" s="83" t="s">
        <v>317</v>
      </c>
      <c r="B257" s="213" t="s">
        <v>459</v>
      </c>
      <c r="C257" s="213" t="s">
        <v>460</v>
      </c>
      <c r="D257" s="83">
        <v>173</v>
      </c>
      <c r="E257" s="280">
        <v>63225</v>
      </c>
      <c r="F257" s="280">
        <v>18060</v>
      </c>
      <c r="G257" s="191" t="s">
        <v>140</v>
      </c>
      <c r="H257" s="292">
        <v>45165</v>
      </c>
      <c r="I257" s="292">
        <v>0</v>
      </c>
      <c r="J257" s="292">
        <v>0</v>
      </c>
      <c r="K257" s="292">
        <v>0</v>
      </c>
      <c r="L257" s="292">
        <v>45165</v>
      </c>
    </row>
    <row r="258" spans="1:12" ht="30.75" customHeight="1" x14ac:dyDescent="0.25">
      <c r="A258" s="83" t="s">
        <v>317</v>
      </c>
      <c r="B258" s="213" t="s">
        <v>466</v>
      </c>
      <c r="C258" s="213" t="s">
        <v>467</v>
      </c>
      <c r="D258" s="83">
        <v>261</v>
      </c>
      <c r="E258" s="280">
        <v>42331</v>
      </c>
      <c r="F258" s="280">
        <v>15186</v>
      </c>
      <c r="G258" s="191" t="s">
        <v>140</v>
      </c>
      <c r="H258" s="292">
        <v>27145</v>
      </c>
      <c r="I258" s="292">
        <v>0</v>
      </c>
      <c r="J258" s="292">
        <v>0</v>
      </c>
      <c r="K258" s="292">
        <v>0</v>
      </c>
      <c r="L258" s="292">
        <v>27145</v>
      </c>
    </row>
    <row r="259" spans="1:12" x14ac:dyDescent="0.25">
      <c r="A259" s="83" t="s">
        <v>317</v>
      </c>
      <c r="B259" s="213" t="s">
        <v>461</v>
      </c>
      <c r="C259" s="213" t="s">
        <v>25</v>
      </c>
      <c r="D259" s="83">
        <v>244</v>
      </c>
      <c r="E259" s="280">
        <v>98089</v>
      </c>
      <c r="F259" s="280">
        <v>34676</v>
      </c>
      <c r="G259" s="191" t="s">
        <v>140</v>
      </c>
      <c r="H259" s="292">
        <v>63413</v>
      </c>
      <c r="I259" s="292">
        <v>0</v>
      </c>
      <c r="J259" s="292">
        <v>0</v>
      </c>
      <c r="K259" s="292">
        <v>0</v>
      </c>
      <c r="L259" s="292">
        <v>63413</v>
      </c>
    </row>
    <row r="260" spans="1:12" x14ac:dyDescent="0.25">
      <c r="A260" s="83" t="s">
        <v>317</v>
      </c>
      <c r="B260" s="213" t="s">
        <v>477</v>
      </c>
      <c r="C260" s="213" t="s">
        <v>17</v>
      </c>
      <c r="D260" s="83">
        <v>280</v>
      </c>
      <c r="E260" s="280">
        <v>6219</v>
      </c>
      <c r="F260" s="280">
        <v>1000</v>
      </c>
      <c r="G260" s="191" t="s">
        <v>140</v>
      </c>
      <c r="H260" s="292">
        <v>5219</v>
      </c>
      <c r="I260" s="292">
        <v>0</v>
      </c>
      <c r="J260" s="292">
        <v>0</v>
      </c>
      <c r="K260" s="292">
        <v>0</v>
      </c>
      <c r="L260" s="292">
        <v>5219</v>
      </c>
    </row>
    <row r="261" spans="1:12" ht="15.75" customHeight="1" x14ac:dyDescent="0.25">
      <c r="A261" s="83" t="s">
        <v>317</v>
      </c>
      <c r="B261" s="213" t="s">
        <v>85</v>
      </c>
      <c r="C261" s="213" t="s">
        <v>26</v>
      </c>
      <c r="D261" s="83">
        <v>171</v>
      </c>
      <c r="E261" s="280">
        <v>106624</v>
      </c>
      <c r="F261" s="280">
        <v>28148</v>
      </c>
      <c r="G261" s="191" t="s">
        <v>140</v>
      </c>
      <c r="H261" s="292">
        <v>78476</v>
      </c>
      <c r="I261" s="292">
        <v>0</v>
      </c>
      <c r="J261" s="292">
        <v>0</v>
      </c>
      <c r="K261" s="292">
        <v>0</v>
      </c>
      <c r="L261" s="292">
        <v>78476</v>
      </c>
    </row>
    <row r="262" spans="1:12" ht="45.75" customHeight="1" x14ac:dyDescent="0.25">
      <c r="A262" s="83" t="s">
        <v>317</v>
      </c>
      <c r="B262" s="213" t="s">
        <v>86</v>
      </c>
      <c r="C262" s="213" t="s">
        <v>25</v>
      </c>
      <c r="D262" s="83">
        <v>258</v>
      </c>
      <c r="E262" s="280">
        <v>395050</v>
      </c>
      <c r="F262" s="280">
        <v>31957</v>
      </c>
      <c r="G262" s="191" t="s">
        <v>140</v>
      </c>
      <c r="H262" s="292">
        <v>363093</v>
      </c>
      <c r="I262" s="292">
        <v>0</v>
      </c>
      <c r="J262" s="292">
        <v>0</v>
      </c>
      <c r="K262" s="292">
        <v>0</v>
      </c>
      <c r="L262" s="292">
        <v>363093</v>
      </c>
    </row>
    <row r="263" spans="1:12" ht="15" customHeight="1" x14ac:dyDescent="0.25">
      <c r="A263" s="83" t="s">
        <v>317</v>
      </c>
      <c r="B263" s="213" t="s">
        <v>478</v>
      </c>
      <c r="C263" s="213" t="s">
        <v>479</v>
      </c>
      <c r="D263" s="83">
        <v>228</v>
      </c>
      <c r="E263" s="280">
        <v>17098</v>
      </c>
      <c r="F263" s="280">
        <v>1000</v>
      </c>
      <c r="G263" s="191" t="s">
        <v>140</v>
      </c>
      <c r="H263" s="292">
        <v>16098</v>
      </c>
      <c r="I263" s="292">
        <v>0</v>
      </c>
      <c r="J263" s="292">
        <v>0</v>
      </c>
      <c r="K263" s="292">
        <v>0</v>
      </c>
      <c r="L263" s="292">
        <v>16098</v>
      </c>
    </row>
    <row r="264" spans="1:12" ht="15" customHeight="1" x14ac:dyDescent="0.25">
      <c r="A264" s="83" t="s">
        <v>317</v>
      </c>
      <c r="B264" s="213" t="s">
        <v>480</v>
      </c>
      <c r="C264" s="213" t="s">
        <v>481</v>
      </c>
      <c r="D264" s="83">
        <v>308</v>
      </c>
      <c r="E264" s="280">
        <v>2805</v>
      </c>
      <c r="F264" s="280">
        <v>1000</v>
      </c>
      <c r="G264" s="191" t="s">
        <v>140</v>
      </c>
      <c r="H264" s="292">
        <v>1805</v>
      </c>
      <c r="I264" s="292">
        <v>0</v>
      </c>
      <c r="J264" s="292">
        <v>0</v>
      </c>
      <c r="K264" s="292">
        <v>0</v>
      </c>
      <c r="L264" s="292">
        <v>1805</v>
      </c>
    </row>
    <row r="265" spans="1:12" x14ac:dyDescent="0.25">
      <c r="A265" s="83" t="s">
        <v>317</v>
      </c>
      <c r="B265" s="213" t="s">
        <v>87</v>
      </c>
      <c r="C265" s="213" t="s">
        <v>17</v>
      </c>
      <c r="D265" s="83">
        <v>260</v>
      </c>
      <c r="E265" s="280">
        <v>1283851</v>
      </c>
      <c r="F265" s="280">
        <v>736708</v>
      </c>
      <c r="G265" s="191" t="s">
        <v>140</v>
      </c>
      <c r="H265" s="292">
        <v>547143</v>
      </c>
      <c r="I265" s="292">
        <v>0</v>
      </c>
      <c r="J265" s="292">
        <v>0</v>
      </c>
      <c r="K265" s="292">
        <v>0</v>
      </c>
      <c r="L265" s="292">
        <v>547143</v>
      </c>
    </row>
    <row r="266" spans="1:12" ht="30.75" x14ac:dyDescent="0.25">
      <c r="A266" s="83" t="s">
        <v>317</v>
      </c>
      <c r="B266" s="213" t="s">
        <v>88</v>
      </c>
      <c r="C266" s="213" t="s">
        <v>27</v>
      </c>
      <c r="D266" s="83">
        <v>367</v>
      </c>
      <c r="E266" s="280">
        <v>147181</v>
      </c>
      <c r="F266" s="280">
        <v>133599</v>
      </c>
      <c r="G266" s="191" t="s">
        <v>140</v>
      </c>
      <c r="H266" s="292">
        <v>13582</v>
      </c>
      <c r="I266" s="292">
        <v>0</v>
      </c>
      <c r="J266" s="292">
        <v>0</v>
      </c>
      <c r="K266" s="292">
        <v>0</v>
      </c>
      <c r="L266" s="292">
        <v>13582</v>
      </c>
    </row>
    <row r="267" spans="1:12" ht="15.75" customHeight="1" x14ac:dyDescent="0.25">
      <c r="A267" s="83" t="s">
        <v>317</v>
      </c>
      <c r="B267" s="213" t="s">
        <v>462</v>
      </c>
      <c r="C267" s="213" t="s">
        <v>463</v>
      </c>
      <c r="D267" s="83">
        <v>346</v>
      </c>
      <c r="E267" s="280">
        <v>5540</v>
      </c>
      <c r="F267" s="280">
        <v>1000</v>
      </c>
      <c r="G267" s="191" t="s">
        <v>140</v>
      </c>
      <c r="H267" s="292">
        <v>4540</v>
      </c>
      <c r="I267" s="292">
        <v>0</v>
      </c>
      <c r="J267" s="292">
        <v>0</v>
      </c>
      <c r="K267" s="292">
        <v>0</v>
      </c>
      <c r="L267" s="292">
        <v>4540</v>
      </c>
    </row>
    <row r="268" spans="1:12" ht="15.75" customHeight="1" x14ac:dyDescent="0.25">
      <c r="A268" s="83" t="s">
        <v>317</v>
      </c>
      <c r="B268" s="213" t="s">
        <v>89</v>
      </c>
      <c r="C268" s="213" t="s">
        <v>28</v>
      </c>
      <c r="D268" s="83">
        <v>351</v>
      </c>
      <c r="E268" s="280">
        <v>31192</v>
      </c>
      <c r="F268" s="280">
        <v>6108</v>
      </c>
      <c r="G268" s="191" t="s">
        <v>140</v>
      </c>
      <c r="H268" s="292">
        <v>25084</v>
      </c>
      <c r="I268" s="292">
        <v>0</v>
      </c>
      <c r="J268" s="292">
        <v>0</v>
      </c>
      <c r="K268" s="292">
        <v>0</v>
      </c>
      <c r="L268" s="292">
        <v>25084</v>
      </c>
    </row>
    <row r="269" spans="1:12" ht="15.75" customHeight="1" x14ac:dyDescent="0.25">
      <c r="A269" s="202" t="s">
        <v>318</v>
      </c>
      <c r="B269" s="218" t="s">
        <v>140</v>
      </c>
      <c r="C269" s="218" t="s">
        <v>140</v>
      </c>
      <c r="D269" s="218" t="s">
        <v>140</v>
      </c>
      <c r="E269" s="244">
        <f>SUBTOTAL(109,school201415[Program
Costs])</f>
        <v>69760386</v>
      </c>
      <c r="F269" s="244">
        <f>SUBTOTAL(109,school201415[Less: Net Payments and Offsets2])</f>
        <v>51723365</v>
      </c>
      <c r="G269" s="218" t="s">
        <v>140</v>
      </c>
      <c r="H269" s="244">
        <f>SUBTOTAL(109,school201415[Accounts Payable
Balance])</f>
        <v>18037021</v>
      </c>
      <c r="I269" s="244">
        <f>SUBTOTAL(109,school201415[Established
Accounts Receivable])</f>
        <v>416801</v>
      </c>
      <c r="J269" s="244">
        <f>SUBTOTAL(109,school201415[Less: Recovered Amount])</f>
        <v>416801</v>
      </c>
      <c r="K269" s="244">
        <f>SUBTOTAL(109,school201415[Accounts Receivable
Balance])</f>
        <v>0</v>
      </c>
      <c r="L269" s="244">
        <f>SUBTOTAL(109,school201415[Net
Balance])</f>
        <v>18037021</v>
      </c>
    </row>
    <row r="270" spans="1:12" x14ac:dyDescent="0.25">
      <c r="A270" s="195" t="s">
        <v>141</v>
      </c>
      <c r="B270" s="142"/>
      <c r="C270" s="142"/>
      <c r="D270" s="142"/>
      <c r="E270" s="26"/>
      <c r="F270" s="26"/>
      <c r="G270" s="196"/>
      <c r="H270" s="26"/>
      <c r="I270" s="26"/>
      <c r="J270" s="26"/>
      <c r="K270" s="26"/>
      <c r="L270" s="26"/>
    </row>
    <row r="271" spans="1:12" ht="50.1" customHeight="1" x14ac:dyDescent="0.25">
      <c r="A271" s="10" t="s">
        <v>5</v>
      </c>
      <c r="B271" s="10" t="s">
        <v>6</v>
      </c>
      <c r="C271" s="10" t="s">
        <v>0</v>
      </c>
      <c r="D271" s="10" t="s">
        <v>441</v>
      </c>
      <c r="E271" s="215" t="s">
        <v>234</v>
      </c>
      <c r="F271" s="216" t="s">
        <v>452</v>
      </c>
      <c r="G271" s="217" t="s">
        <v>142</v>
      </c>
      <c r="H271" s="215" t="s">
        <v>444</v>
      </c>
      <c r="I271" s="215" t="s">
        <v>445</v>
      </c>
      <c r="J271" s="215" t="s">
        <v>446</v>
      </c>
      <c r="K271" s="215" t="s">
        <v>447</v>
      </c>
      <c r="L271" s="215" t="s">
        <v>305</v>
      </c>
    </row>
    <row r="272" spans="1:12" x14ac:dyDescent="0.25">
      <c r="A272" s="83" t="s">
        <v>319</v>
      </c>
      <c r="B272" s="213" t="s">
        <v>468</v>
      </c>
      <c r="C272" s="213" t="s">
        <v>469</v>
      </c>
      <c r="D272" s="83">
        <v>305</v>
      </c>
      <c r="E272" s="280">
        <v>11320</v>
      </c>
      <c r="F272" s="280">
        <v>5205</v>
      </c>
      <c r="G272" s="191" t="s">
        <v>140</v>
      </c>
      <c r="H272" s="292">
        <v>6115</v>
      </c>
      <c r="I272" s="292">
        <v>0</v>
      </c>
      <c r="J272" s="292">
        <v>0</v>
      </c>
      <c r="K272" s="292">
        <v>0</v>
      </c>
      <c r="L272" s="292">
        <v>6115</v>
      </c>
    </row>
    <row r="273" spans="1:12" ht="30.75" x14ac:dyDescent="0.25">
      <c r="A273" s="83" t="s">
        <v>319</v>
      </c>
      <c r="B273" s="213" t="s">
        <v>66</v>
      </c>
      <c r="C273" s="213" t="s">
        <v>7</v>
      </c>
      <c r="D273" s="83">
        <v>250</v>
      </c>
      <c r="E273" s="280">
        <v>82157</v>
      </c>
      <c r="F273" s="280">
        <v>13627</v>
      </c>
      <c r="G273" s="191" t="s">
        <v>140</v>
      </c>
      <c r="H273" s="292">
        <v>68530</v>
      </c>
      <c r="I273" s="292">
        <v>0</v>
      </c>
      <c r="J273" s="292">
        <v>0</v>
      </c>
      <c r="K273" s="292">
        <v>0</v>
      </c>
      <c r="L273" s="292">
        <v>68530</v>
      </c>
    </row>
    <row r="274" spans="1:12" ht="30.75" customHeight="1" x14ac:dyDescent="0.25">
      <c r="A274" s="83" t="s">
        <v>319</v>
      </c>
      <c r="B274" s="213" t="s">
        <v>68</v>
      </c>
      <c r="C274" s="213" t="s">
        <v>9</v>
      </c>
      <c r="D274" s="83">
        <v>369</v>
      </c>
      <c r="E274" s="280">
        <v>66380580</v>
      </c>
      <c r="F274" s="280">
        <v>65815255</v>
      </c>
      <c r="G274" s="191" t="s">
        <v>140</v>
      </c>
      <c r="H274" s="292">
        <v>565325</v>
      </c>
      <c r="I274" s="292">
        <v>0</v>
      </c>
      <c r="J274" s="292">
        <v>0</v>
      </c>
      <c r="K274" s="292">
        <v>0</v>
      </c>
      <c r="L274" s="292">
        <v>565325</v>
      </c>
    </row>
    <row r="275" spans="1:12" ht="15.75" customHeight="1" x14ac:dyDescent="0.25">
      <c r="A275" s="83" t="s">
        <v>319</v>
      </c>
      <c r="B275" s="213" t="s">
        <v>482</v>
      </c>
      <c r="C275" s="213" t="s">
        <v>335</v>
      </c>
      <c r="D275" s="83">
        <v>354</v>
      </c>
      <c r="E275" s="280">
        <v>160491</v>
      </c>
      <c r="F275" s="280">
        <v>80368</v>
      </c>
      <c r="G275" s="191" t="s">
        <v>140</v>
      </c>
      <c r="H275" s="292">
        <v>80123</v>
      </c>
      <c r="I275" s="292">
        <v>0</v>
      </c>
      <c r="J275" s="292">
        <v>0</v>
      </c>
      <c r="K275" s="292">
        <v>0</v>
      </c>
      <c r="L275" s="292">
        <v>80123</v>
      </c>
    </row>
    <row r="276" spans="1:12" ht="30.75" customHeight="1" x14ac:dyDescent="0.25">
      <c r="A276" s="83" t="s">
        <v>319</v>
      </c>
      <c r="B276" s="213" t="s">
        <v>483</v>
      </c>
      <c r="C276" s="213" t="s">
        <v>484</v>
      </c>
      <c r="D276" s="83">
        <v>286</v>
      </c>
      <c r="E276" s="280">
        <v>3934</v>
      </c>
      <c r="F276" s="280">
        <v>1000</v>
      </c>
      <c r="G276" s="191" t="s">
        <v>140</v>
      </c>
      <c r="H276" s="292">
        <v>2934</v>
      </c>
      <c r="I276" s="292">
        <v>0</v>
      </c>
      <c r="J276" s="292">
        <v>0</v>
      </c>
      <c r="K276" s="292">
        <v>0</v>
      </c>
      <c r="L276" s="292">
        <v>2934</v>
      </c>
    </row>
    <row r="277" spans="1:12" ht="30.75" x14ac:dyDescent="0.25">
      <c r="A277" s="83" t="s">
        <v>319</v>
      </c>
      <c r="B277" s="213" t="s">
        <v>69</v>
      </c>
      <c r="C277" s="213" t="s">
        <v>10</v>
      </c>
      <c r="D277" s="83">
        <v>172</v>
      </c>
      <c r="E277" s="280">
        <v>39521</v>
      </c>
      <c r="F277" s="280">
        <v>18266</v>
      </c>
      <c r="G277" s="191" t="s">
        <v>140</v>
      </c>
      <c r="H277" s="292">
        <v>21255</v>
      </c>
      <c r="I277" s="292">
        <v>0</v>
      </c>
      <c r="J277" s="292">
        <v>0</v>
      </c>
      <c r="K277" s="292">
        <v>0</v>
      </c>
      <c r="L277" s="292">
        <v>21255</v>
      </c>
    </row>
    <row r="278" spans="1:12" ht="15.75" customHeight="1" x14ac:dyDescent="0.25">
      <c r="A278" s="83" t="s">
        <v>319</v>
      </c>
      <c r="B278" s="213" t="s">
        <v>464</v>
      </c>
      <c r="C278" s="213" t="s">
        <v>465</v>
      </c>
      <c r="D278" s="83">
        <v>278</v>
      </c>
      <c r="E278" s="280">
        <v>68418</v>
      </c>
      <c r="F278" s="280">
        <v>5575</v>
      </c>
      <c r="G278" s="191" t="s">
        <v>140</v>
      </c>
      <c r="H278" s="292">
        <v>62843</v>
      </c>
      <c r="I278" s="292">
        <v>0</v>
      </c>
      <c r="J278" s="292">
        <v>0</v>
      </c>
      <c r="K278" s="292">
        <v>0</v>
      </c>
      <c r="L278" s="292">
        <v>62843</v>
      </c>
    </row>
    <row r="279" spans="1:12" x14ac:dyDescent="0.25">
      <c r="A279" s="83" t="s">
        <v>319</v>
      </c>
      <c r="B279" s="213" t="s">
        <v>485</v>
      </c>
      <c r="C279" s="213" t="s">
        <v>486</v>
      </c>
      <c r="D279" s="83">
        <v>337</v>
      </c>
      <c r="E279" s="280">
        <v>56740</v>
      </c>
      <c r="F279" s="280">
        <v>55085</v>
      </c>
      <c r="G279" s="191" t="s">
        <v>140</v>
      </c>
      <c r="H279" s="292">
        <v>1655</v>
      </c>
      <c r="I279" s="292">
        <v>0</v>
      </c>
      <c r="J279" s="292">
        <v>0</v>
      </c>
      <c r="K279" s="292">
        <v>0</v>
      </c>
      <c r="L279" s="292">
        <v>1655</v>
      </c>
    </row>
    <row r="280" spans="1:12" ht="30.75" customHeight="1" x14ac:dyDescent="0.25">
      <c r="A280" s="83" t="s">
        <v>319</v>
      </c>
      <c r="B280" s="213" t="s">
        <v>72</v>
      </c>
      <c r="C280" s="213" t="s">
        <v>13</v>
      </c>
      <c r="D280" s="83">
        <v>11</v>
      </c>
      <c r="E280" s="280">
        <v>2001920</v>
      </c>
      <c r="F280" s="280">
        <v>1183130</v>
      </c>
      <c r="G280" s="191" t="s">
        <v>140</v>
      </c>
      <c r="H280" s="292">
        <v>818790</v>
      </c>
      <c r="I280" s="292">
        <v>0</v>
      </c>
      <c r="J280" s="292">
        <v>0</v>
      </c>
      <c r="K280" s="292">
        <v>0</v>
      </c>
      <c r="L280" s="292">
        <v>818790</v>
      </c>
    </row>
    <row r="281" spans="1:12" ht="15.75" customHeight="1" x14ac:dyDescent="0.25">
      <c r="A281" s="83" t="s">
        <v>319</v>
      </c>
      <c r="B281" s="213" t="s">
        <v>73</v>
      </c>
      <c r="C281" s="213" t="s">
        <v>14</v>
      </c>
      <c r="D281" s="83">
        <v>313</v>
      </c>
      <c r="E281" s="280">
        <v>255446</v>
      </c>
      <c r="F281" s="280">
        <v>89237</v>
      </c>
      <c r="G281" s="191" t="s">
        <v>140</v>
      </c>
      <c r="H281" s="292">
        <v>166209</v>
      </c>
      <c r="I281" s="292">
        <v>0</v>
      </c>
      <c r="J281" s="292">
        <v>0</v>
      </c>
      <c r="K281" s="292">
        <v>0</v>
      </c>
      <c r="L281" s="292">
        <v>166209</v>
      </c>
    </row>
    <row r="282" spans="1:12" ht="30.75" customHeight="1" x14ac:dyDescent="0.25">
      <c r="A282" s="83" t="s">
        <v>319</v>
      </c>
      <c r="B282" s="213" t="s">
        <v>70</v>
      </c>
      <c r="C282" s="213" t="s">
        <v>11</v>
      </c>
      <c r="D282" s="83">
        <v>330</v>
      </c>
      <c r="E282" s="280">
        <v>220093</v>
      </c>
      <c r="F282" s="280">
        <v>90234</v>
      </c>
      <c r="G282" s="191" t="s">
        <v>140</v>
      </c>
      <c r="H282" s="292">
        <v>129859</v>
      </c>
      <c r="I282" s="292">
        <v>0</v>
      </c>
      <c r="J282" s="292">
        <v>0</v>
      </c>
      <c r="K282" s="292">
        <v>0</v>
      </c>
      <c r="L282" s="292">
        <v>129859</v>
      </c>
    </row>
    <row r="283" spans="1:12" ht="45.75" x14ac:dyDescent="0.25">
      <c r="A283" s="83" t="s">
        <v>319</v>
      </c>
      <c r="B283" s="213" t="s">
        <v>67</v>
      </c>
      <c r="C283" s="213" t="s">
        <v>8</v>
      </c>
      <c r="D283" s="83">
        <v>272</v>
      </c>
      <c r="E283" s="280">
        <v>310676</v>
      </c>
      <c r="F283" s="280">
        <v>107194</v>
      </c>
      <c r="G283" s="191" t="s">
        <v>140</v>
      </c>
      <c r="H283" s="292">
        <v>203482</v>
      </c>
      <c r="I283" s="292">
        <v>0</v>
      </c>
      <c r="J283" s="292">
        <v>0</v>
      </c>
      <c r="K283" s="292">
        <v>0</v>
      </c>
      <c r="L283" s="292">
        <v>203482</v>
      </c>
    </row>
    <row r="284" spans="1:12" ht="45.75" customHeight="1" x14ac:dyDescent="0.25">
      <c r="A284" s="83" t="s">
        <v>319</v>
      </c>
      <c r="B284" s="213" t="s">
        <v>82</v>
      </c>
      <c r="C284" s="213" t="s">
        <v>23</v>
      </c>
      <c r="D284" s="83">
        <v>276</v>
      </c>
      <c r="E284" s="280">
        <v>98097</v>
      </c>
      <c r="F284" s="280">
        <v>5803</v>
      </c>
      <c r="G284" s="191" t="s">
        <v>140</v>
      </c>
      <c r="H284" s="292">
        <v>92294</v>
      </c>
      <c r="I284" s="292">
        <v>0</v>
      </c>
      <c r="J284" s="292">
        <v>0</v>
      </c>
      <c r="K284" s="292">
        <v>0</v>
      </c>
      <c r="L284" s="292">
        <v>92294</v>
      </c>
    </row>
    <row r="285" spans="1:12" ht="75.75" customHeight="1" x14ac:dyDescent="0.25">
      <c r="A285" s="83" t="s">
        <v>319</v>
      </c>
      <c r="B285" s="213" t="s">
        <v>448</v>
      </c>
      <c r="C285" s="213" t="s">
        <v>449</v>
      </c>
      <c r="D285" s="83">
        <v>292</v>
      </c>
      <c r="E285" s="280">
        <v>605343</v>
      </c>
      <c r="F285" s="280">
        <v>154725</v>
      </c>
      <c r="G285" s="191" t="s">
        <v>140</v>
      </c>
      <c r="H285" s="292">
        <v>450618</v>
      </c>
      <c r="I285" s="292">
        <v>0</v>
      </c>
      <c r="J285" s="292">
        <v>0</v>
      </c>
      <c r="K285" s="292">
        <v>0</v>
      </c>
      <c r="L285" s="292">
        <v>450618</v>
      </c>
    </row>
    <row r="286" spans="1:12" ht="30.75" x14ac:dyDescent="0.25">
      <c r="A286" s="83" t="s">
        <v>319</v>
      </c>
      <c r="B286" s="213" t="s">
        <v>71</v>
      </c>
      <c r="C286" s="213" t="s">
        <v>12</v>
      </c>
      <c r="D286" s="83">
        <v>209</v>
      </c>
      <c r="E286" s="280">
        <v>100210</v>
      </c>
      <c r="F286" s="280">
        <v>1000</v>
      </c>
      <c r="G286" s="191" t="s">
        <v>140</v>
      </c>
      <c r="H286" s="292">
        <v>99210</v>
      </c>
      <c r="I286" s="292">
        <v>0</v>
      </c>
      <c r="J286" s="292">
        <v>0</v>
      </c>
      <c r="K286" s="292">
        <v>0</v>
      </c>
      <c r="L286" s="292">
        <v>99210</v>
      </c>
    </row>
    <row r="287" spans="1:12" x14ac:dyDescent="0.25">
      <c r="A287" s="83" t="s">
        <v>319</v>
      </c>
      <c r="B287" s="213" t="s">
        <v>74</v>
      </c>
      <c r="C287" s="213" t="s">
        <v>15</v>
      </c>
      <c r="D287" s="83">
        <v>183</v>
      </c>
      <c r="E287" s="280">
        <v>24654</v>
      </c>
      <c r="F287" s="280">
        <v>6249</v>
      </c>
      <c r="G287" s="191" t="s">
        <v>140</v>
      </c>
      <c r="H287" s="292">
        <v>18405</v>
      </c>
      <c r="I287" s="292">
        <v>0</v>
      </c>
      <c r="J287" s="292">
        <v>0</v>
      </c>
      <c r="K287" s="292">
        <v>0</v>
      </c>
      <c r="L287" s="292">
        <v>18405</v>
      </c>
    </row>
    <row r="288" spans="1:12" x14ac:dyDescent="0.25">
      <c r="A288" s="83" t="s">
        <v>319</v>
      </c>
      <c r="B288" s="213" t="s">
        <v>455</v>
      </c>
      <c r="C288" s="213" t="s">
        <v>456</v>
      </c>
      <c r="D288" s="83">
        <v>251</v>
      </c>
      <c r="E288" s="280">
        <v>33464</v>
      </c>
      <c r="F288" s="280">
        <v>8855</v>
      </c>
      <c r="G288" s="191" t="s">
        <v>140</v>
      </c>
      <c r="H288" s="292">
        <v>24609</v>
      </c>
      <c r="I288" s="292">
        <v>0</v>
      </c>
      <c r="J288" s="292">
        <v>0</v>
      </c>
      <c r="K288" s="292">
        <v>0</v>
      </c>
      <c r="L288" s="292">
        <v>24609</v>
      </c>
    </row>
    <row r="289" spans="1:12" ht="30.75" x14ac:dyDescent="0.25">
      <c r="A289" s="83" t="s">
        <v>319</v>
      </c>
      <c r="B289" s="213" t="s">
        <v>472</v>
      </c>
      <c r="C289" s="213" t="s">
        <v>11</v>
      </c>
      <c r="D289" s="83">
        <v>91</v>
      </c>
      <c r="E289" s="280">
        <v>2373</v>
      </c>
      <c r="F289" s="280">
        <v>1275</v>
      </c>
      <c r="G289" s="191" t="s">
        <v>140</v>
      </c>
      <c r="H289" s="292">
        <v>1098</v>
      </c>
      <c r="I289" s="292">
        <v>0</v>
      </c>
      <c r="J289" s="292">
        <v>0</v>
      </c>
      <c r="K289" s="292">
        <v>0</v>
      </c>
      <c r="L289" s="292">
        <v>1098</v>
      </c>
    </row>
    <row r="290" spans="1:12" x14ac:dyDescent="0.25">
      <c r="A290" s="83" t="s">
        <v>319</v>
      </c>
      <c r="B290" s="213" t="s">
        <v>75</v>
      </c>
      <c r="C290" s="213" t="s">
        <v>16</v>
      </c>
      <c r="D290" s="83">
        <v>192</v>
      </c>
      <c r="E290" s="280">
        <v>38653</v>
      </c>
      <c r="F290" s="280">
        <v>12345</v>
      </c>
      <c r="G290" s="191" t="s">
        <v>140</v>
      </c>
      <c r="H290" s="292">
        <v>26308</v>
      </c>
      <c r="I290" s="292">
        <v>0</v>
      </c>
      <c r="J290" s="292">
        <v>0</v>
      </c>
      <c r="K290" s="292">
        <v>0</v>
      </c>
      <c r="L290" s="292">
        <v>26308</v>
      </c>
    </row>
    <row r="291" spans="1:12" ht="30.75" x14ac:dyDescent="0.25">
      <c r="A291" s="83" t="s">
        <v>319</v>
      </c>
      <c r="B291" s="213" t="s">
        <v>76</v>
      </c>
      <c r="C291" s="213" t="s">
        <v>17</v>
      </c>
      <c r="D291" s="83">
        <v>297</v>
      </c>
      <c r="E291" s="280">
        <v>15064011</v>
      </c>
      <c r="F291" s="280">
        <v>3552077</v>
      </c>
      <c r="G291" s="191" t="s">
        <v>140</v>
      </c>
      <c r="H291" s="292">
        <v>11511934</v>
      </c>
      <c r="I291" s="292">
        <v>0</v>
      </c>
      <c r="J291" s="292">
        <v>0</v>
      </c>
      <c r="K291" s="292">
        <v>0</v>
      </c>
      <c r="L291" s="292">
        <v>11511934</v>
      </c>
    </row>
    <row r="292" spans="1:12" x14ac:dyDescent="0.25">
      <c r="A292" s="83" t="s">
        <v>319</v>
      </c>
      <c r="B292" s="213" t="s">
        <v>77</v>
      </c>
      <c r="C292" s="213" t="s">
        <v>18</v>
      </c>
      <c r="D292" s="83">
        <v>166</v>
      </c>
      <c r="E292" s="280">
        <v>659009</v>
      </c>
      <c r="F292" s="280">
        <v>215541</v>
      </c>
      <c r="G292" s="191" t="s">
        <v>140</v>
      </c>
      <c r="H292" s="292">
        <v>443468</v>
      </c>
      <c r="I292" s="292">
        <v>0</v>
      </c>
      <c r="J292" s="292">
        <v>0</v>
      </c>
      <c r="K292" s="292">
        <v>0</v>
      </c>
      <c r="L292" s="292">
        <v>443468</v>
      </c>
    </row>
    <row r="293" spans="1:12" x14ac:dyDescent="0.25">
      <c r="A293" s="83" t="s">
        <v>319</v>
      </c>
      <c r="B293" s="213" t="s">
        <v>473</v>
      </c>
      <c r="C293" s="213" t="s">
        <v>474</v>
      </c>
      <c r="D293" s="83">
        <v>268</v>
      </c>
      <c r="E293" s="280">
        <v>549337</v>
      </c>
      <c r="F293" s="280">
        <v>74880</v>
      </c>
      <c r="G293" s="191" t="s">
        <v>140</v>
      </c>
      <c r="H293" s="292">
        <v>474457</v>
      </c>
      <c r="I293" s="292">
        <v>0</v>
      </c>
      <c r="J293" s="292">
        <v>0</v>
      </c>
      <c r="K293" s="292">
        <v>0</v>
      </c>
      <c r="L293" s="292">
        <v>474457</v>
      </c>
    </row>
    <row r="294" spans="1:12" x14ac:dyDescent="0.25">
      <c r="A294" s="83" t="s">
        <v>319</v>
      </c>
      <c r="B294" s="213" t="s">
        <v>80</v>
      </c>
      <c r="C294" s="213" t="s">
        <v>21</v>
      </c>
      <c r="D294" s="83">
        <v>32</v>
      </c>
      <c r="E294" s="280">
        <v>266637</v>
      </c>
      <c r="F294" s="280">
        <v>137331</v>
      </c>
      <c r="G294" s="191" t="s">
        <v>140</v>
      </c>
      <c r="H294" s="292">
        <v>129306</v>
      </c>
      <c r="I294" s="292">
        <v>0</v>
      </c>
      <c r="J294" s="292">
        <v>0</v>
      </c>
      <c r="K294" s="292">
        <v>0</v>
      </c>
      <c r="L294" s="292">
        <v>129306</v>
      </c>
    </row>
    <row r="295" spans="1:12" ht="30.75" x14ac:dyDescent="0.25">
      <c r="A295" s="83" t="s">
        <v>319</v>
      </c>
      <c r="B295" s="213" t="s">
        <v>78</v>
      </c>
      <c r="C295" s="213" t="s">
        <v>19</v>
      </c>
      <c r="D295" s="83">
        <v>368</v>
      </c>
      <c r="E295" s="280">
        <v>237345</v>
      </c>
      <c r="F295" s="280">
        <v>139031</v>
      </c>
      <c r="G295" s="191" t="s">
        <v>140</v>
      </c>
      <c r="H295" s="292">
        <v>98314</v>
      </c>
      <c r="I295" s="292">
        <v>0</v>
      </c>
      <c r="J295" s="292">
        <v>0</v>
      </c>
      <c r="K295" s="292">
        <v>0</v>
      </c>
      <c r="L295" s="292">
        <v>98314</v>
      </c>
    </row>
    <row r="296" spans="1:12" x14ac:dyDescent="0.25">
      <c r="A296" s="83" t="s">
        <v>319</v>
      </c>
      <c r="B296" s="213" t="s">
        <v>79</v>
      </c>
      <c r="C296" s="213" t="s">
        <v>20</v>
      </c>
      <c r="D296" s="83">
        <v>357</v>
      </c>
      <c r="E296" s="280">
        <v>1199049</v>
      </c>
      <c r="F296" s="280">
        <v>971288</v>
      </c>
      <c r="G296" s="191" t="s">
        <v>140</v>
      </c>
      <c r="H296" s="292">
        <v>227761</v>
      </c>
      <c r="I296" s="292">
        <v>0</v>
      </c>
      <c r="J296" s="292">
        <v>0</v>
      </c>
      <c r="K296" s="292">
        <v>0</v>
      </c>
      <c r="L296" s="292">
        <v>227761</v>
      </c>
    </row>
    <row r="297" spans="1:12" x14ac:dyDescent="0.25">
      <c r="A297" s="83" t="s">
        <v>319</v>
      </c>
      <c r="B297" s="213" t="s">
        <v>475</v>
      </c>
      <c r="C297" s="213" t="s">
        <v>476</v>
      </c>
      <c r="D297" s="83">
        <v>148</v>
      </c>
      <c r="E297" s="280">
        <v>5963</v>
      </c>
      <c r="F297" s="280">
        <v>2158</v>
      </c>
      <c r="G297" s="191" t="s">
        <v>140</v>
      </c>
      <c r="H297" s="292">
        <v>3805</v>
      </c>
      <c r="I297" s="292">
        <v>0</v>
      </c>
      <c r="J297" s="292">
        <v>0</v>
      </c>
      <c r="K297" s="292">
        <v>0</v>
      </c>
      <c r="L297" s="292">
        <v>3805</v>
      </c>
    </row>
    <row r="298" spans="1:12" x14ac:dyDescent="0.25">
      <c r="A298" s="83" t="s">
        <v>319</v>
      </c>
      <c r="B298" s="213" t="s">
        <v>81</v>
      </c>
      <c r="C298" s="213" t="s">
        <v>22</v>
      </c>
      <c r="D298" s="83">
        <v>153</v>
      </c>
      <c r="E298" s="280">
        <v>140532</v>
      </c>
      <c r="F298" s="280">
        <v>62155</v>
      </c>
      <c r="G298" s="191" t="s">
        <v>140</v>
      </c>
      <c r="H298" s="292">
        <v>78377</v>
      </c>
      <c r="I298" s="292">
        <v>0</v>
      </c>
      <c r="J298" s="292">
        <v>0</v>
      </c>
      <c r="K298" s="292">
        <v>0</v>
      </c>
      <c r="L298" s="292">
        <v>78377</v>
      </c>
    </row>
    <row r="299" spans="1:12" x14ac:dyDescent="0.25">
      <c r="A299" s="83" t="s">
        <v>319</v>
      </c>
      <c r="B299" s="213" t="s">
        <v>457</v>
      </c>
      <c r="C299" s="213" t="s">
        <v>458</v>
      </c>
      <c r="D299" s="83">
        <v>155</v>
      </c>
      <c r="E299" s="280">
        <v>247195</v>
      </c>
      <c r="F299" s="280">
        <v>2026</v>
      </c>
      <c r="G299" s="191" t="s">
        <v>140</v>
      </c>
      <c r="H299" s="292">
        <v>245169</v>
      </c>
      <c r="I299" s="292">
        <v>0</v>
      </c>
      <c r="J299" s="292">
        <v>0</v>
      </c>
      <c r="K299" s="292">
        <v>0</v>
      </c>
      <c r="L299" s="292">
        <v>245169</v>
      </c>
    </row>
    <row r="300" spans="1:12" x14ac:dyDescent="0.25">
      <c r="A300" s="83" t="s">
        <v>319</v>
      </c>
      <c r="B300" s="213" t="s">
        <v>83</v>
      </c>
      <c r="C300" s="213" t="s">
        <v>17</v>
      </c>
      <c r="D300" s="83">
        <v>48</v>
      </c>
      <c r="E300" s="280">
        <v>1841459</v>
      </c>
      <c r="F300" s="280">
        <v>1214783</v>
      </c>
      <c r="G300" s="191" t="s">
        <v>140</v>
      </c>
      <c r="H300" s="292">
        <v>626676</v>
      </c>
      <c r="I300" s="292">
        <v>0</v>
      </c>
      <c r="J300" s="292">
        <v>0</v>
      </c>
      <c r="K300" s="292">
        <v>0</v>
      </c>
      <c r="L300" s="292">
        <v>626676</v>
      </c>
    </row>
    <row r="301" spans="1:12" x14ac:dyDescent="0.25">
      <c r="A301" s="83" t="s">
        <v>319</v>
      </c>
      <c r="B301" s="213" t="s">
        <v>84</v>
      </c>
      <c r="C301" s="213" t="s">
        <v>24</v>
      </c>
      <c r="D301" s="83">
        <v>350</v>
      </c>
      <c r="E301" s="280">
        <v>139137</v>
      </c>
      <c r="F301" s="280">
        <v>54044</v>
      </c>
      <c r="G301" s="191" t="s">
        <v>140</v>
      </c>
      <c r="H301" s="292">
        <v>85093</v>
      </c>
      <c r="I301" s="292">
        <v>0</v>
      </c>
      <c r="J301" s="292">
        <v>0</v>
      </c>
      <c r="K301" s="292">
        <v>0</v>
      </c>
      <c r="L301" s="292">
        <v>85093</v>
      </c>
    </row>
    <row r="302" spans="1:12" x14ac:dyDescent="0.25">
      <c r="A302" s="83" t="s">
        <v>319</v>
      </c>
      <c r="B302" s="213" t="s">
        <v>459</v>
      </c>
      <c r="C302" s="213" t="s">
        <v>460</v>
      </c>
      <c r="D302" s="83">
        <v>173</v>
      </c>
      <c r="E302" s="280">
        <v>76582</v>
      </c>
      <c r="F302" s="280">
        <v>41508</v>
      </c>
      <c r="G302" s="191" t="s">
        <v>140</v>
      </c>
      <c r="H302" s="292">
        <v>35074</v>
      </c>
      <c r="I302" s="292">
        <v>0</v>
      </c>
      <c r="J302" s="292">
        <v>0</v>
      </c>
      <c r="K302" s="292">
        <v>0</v>
      </c>
      <c r="L302" s="292">
        <v>35074</v>
      </c>
    </row>
    <row r="303" spans="1:12" ht="30.75" customHeight="1" x14ac:dyDescent="0.25">
      <c r="A303" s="83" t="s">
        <v>319</v>
      </c>
      <c r="B303" s="213" t="s">
        <v>466</v>
      </c>
      <c r="C303" s="213" t="s">
        <v>467</v>
      </c>
      <c r="D303" s="83">
        <v>261</v>
      </c>
      <c r="E303" s="280">
        <v>43542</v>
      </c>
      <c r="F303" s="280">
        <v>22564</v>
      </c>
      <c r="G303" s="191" t="s">
        <v>140</v>
      </c>
      <c r="H303" s="292">
        <v>20978</v>
      </c>
      <c r="I303" s="292">
        <v>0</v>
      </c>
      <c r="J303" s="292">
        <v>0</v>
      </c>
      <c r="K303" s="292">
        <v>0</v>
      </c>
      <c r="L303" s="292">
        <v>20978</v>
      </c>
    </row>
    <row r="304" spans="1:12" x14ac:dyDescent="0.25">
      <c r="A304" s="83" t="s">
        <v>319</v>
      </c>
      <c r="B304" s="213" t="s">
        <v>461</v>
      </c>
      <c r="C304" s="213" t="s">
        <v>25</v>
      </c>
      <c r="D304" s="83">
        <v>244</v>
      </c>
      <c r="E304" s="280">
        <v>132122</v>
      </c>
      <c r="F304" s="280">
        <v>74816</v>
      </c>
      <c r="G304" s="191" t="s">
        <v>140</v>
      </c>
      <c r="H304" s="292">
        <v>57306</v>
      </c>
      <c r="I304" s="292">
        <v>0</v>
      </c>
      <c r="J304" s="292">
        <v>0</v>
      </c>
      <c r="K304" s="292">
        <v>0</v>
      </c>
      <c r="L304" s="292">
        <v>57306</v>
      </c>
    </row>
    <row r="305" spans="1:12" x14ac:dyDescent="0.25">
      <c r="A305" s="83" t="s">
        <v>319</v>
      </c>
      <c r="B305" s="213" t="s">
        <v>477</v>
      </c>
      <c r="C305" s="213" t="s">
        <v>17</v>
      </c>
      <c r="D305" s="83">
        <v>280</v>
      </c>
      <c r="E305" s="280">
        <v>5931</v>
      </c>
      <c r="F305" s="280">
        <v>1000</v>
      </c>
      <c r="G305" s="191" t="s">
        <v>140</v>
      </c>
      <c r="H305" s="292">
        <v>4931</v>
      </c>
      <c r="I305" s="292">
        <v>0</v>
      </c>
      <c r="J305" s="292">
        <v>0</v>
      </c>
      <c r="K305" s="292">
        <v>0</v>
      </c>
      <c r="L305" s="292">
        <v>4931</v>
      </c>
    </row>
    <row r="306" spans="1:12" ht="15" customHeight="1" x14ac:dyDescent="0.25">
      <c r="A306" s="83" t="s">
        <v>319</v>
      </c>
      <c r="B306" s="213" t="s">
        <v>487</v>
      </c>
      <c r="C306" s="213" t="s">
        <v>488</v>
      </c>
      <c r="D306" s="83">
        <v>362</v>
      </c>
      <c r="E306" s="280">
        <v>55547</v>
      </c>
      <c r="F306" s="280">
        <v>49268</v>
      </c>
      <c r="G306" s="191" t="s">
        <v>140</v>
      </c>
      <c r="H306" s="292">
        <v>6279</v>
      </c>
      <c r="I306" s="292">
        <v>0</v>
      </c>
      <c r="J306" s="292">
        <v>0</v>
      </c>
      <c r="K306" s="292">
        <v>0</v>
      </c>
      <c r="L306" s="292">
        <v>6279</v>
      </c>
    </row>
    <row r="307" spans="1:12" ht="15" customHeight="1" x14ac:dyDescent="0.25">
      <c r="A307" s="83" t="s">
        <v>319</v>
      </c>
      <c r="B307" s="213" t="s">
        <v>85</v>
      </c>
      <c r="C307" s="213" t="s">
        <v>26</v>
      </c>
      <c r="D307" s="83">
        <v>171</v>
      </c>
      <c r="E307" s="280">
        <v>159068</v>
      </c>
      <c r="F307" s="280">
        <v>55602</v>
      </c>
      <c r="G307" s="191" t="s">
        <v>140</v>
      </c>
      <c r="H307" s="292">
        <v>103466</v>
      </c>
      <c r="I307" s="292">
        <v>0</v>
      </c>
      <c r="J307" s="292">
        <v>0</v>
      </c>
      <c r="K307" s="292">
        <v>0</v>
      </c>
      <c r="L307" s="292">
        <v>103466</v>
      </c>
    </row>
    <row r="308" spans="1:12" ht="15" customHeight="1" x14ac:dyDescent="0.25">
      <c r="A308" s="83" t="s">
        <v>319</v>
      </c>
      <c r="B308" s="213" t="s">
        <v>86</v>
      </c>
      <c r="C308" s="213" t="s">
        <v>25</v>
      </c>
      <c r="D308" s="83">
        <v>258</v>
      </c>
      <c r="E308" s="280">
        <v>478898</v>
      </c>
      <c r="F308" s="280">
        <v>117893</v>
      </c>
      <c r="G308" s="191" t="s">
        <v>140</v>
      </c>
      <c r="H308" s="292">
        <v>361005</v>
      </c>
      <c r="I308" s="292">
        <v>0</v>
      </c>
      <c r="J308" s="292">
        <v>0</v>
      </c>
      <c r="K308" s="292">
        <v>0</v>
      </c>
      <c r="L308" s="292">
        <v>361005</v>
      </c>
    </row>
    <row r="309" spans="1:12" x14ac:dyDescent="0.25">
      <c r="A309" s="83" t="s">
        <v>319</v>
      </c>
      <c r="B309" s="213" t="s">
        <v>478</v>
      </c>
      <c r="C309" s="213" t="s">
        <v>479</v>
      </c>
      <c r="D309" s="83">
        <v>228</v>
      </c>
      <c r="E309" s="280">
        <v>51918</v>
      </c>
      <c r="F309" s="280">
        <v>1000</v>
      </c>
      <c r="G309" s="191" t="s">
        <v>140</v>
      </c>
      <c r="H309" s="292">
        <v>50918</v>
      </c>
      <c r="I309" s="292">
        <v>0</v>
      </c>
      <c r="J309" s="292">
        <v>0</v>
      </c>
      <c r="K309" s="292">
        <v>0</v>
      </c>
      <c r="L309" s="292">
        <v>50918</v>
      </c>
    </row>
    <row r="310" spans="1:12" x14ac:dyDescent="0.25">
      <c r="A310" s="83" t="s">
        <v>319</v>
      </c>
      <c r="B310" s="213" t="s">
        <v>480</v>
      </c>
      <c r="C310" s="213" t="s">
        <v>481</v>
      </c>
      <c r="D310" s="83">
        <v>308</v>
      </c>
      <c r="E310" s="280">
        <v>1359</v>
      </c>
      <c r="F310" s="280">
        <v>1000</v>
      </c>
      <c r="G310" s="191" t="s">
        <v>140</v>
      </c>
      <c r="H310" s="292">
        <v>359</v>
      </c>
      <c r="I310" s="292">
        <v>0</v>
      </c>
      <c r="J310" s="292">
        <v>0</v>
      </c>
      <c r="K310" s="292">
        <v>0</v>
      </c>
      <c r="L310" s="292">
        <v>359</v>
      </c>
    </row>
    <row r="311" spans="1:12" x14ac:dyDescent="0.25">
      <c r="A311" s="83" t="s">
        <v>319</v>
      </c>
      <c r="B311" s="213" t="s">
        <v>87</v>
      </c>
      <c r="C311" s="213" t="s">
        <v>17</v>
      </c>
      <c r="D311" s="83">
        <v>260</v>
      </c>
      <c r="E311" s="280">
        <v>1213813</v>
      </c>
      <c r="F311" s="280">
        <v>664042</v>
      </c>
      <c r="G311" s="191" t="s">
        <v>140</v>
      </c>
      <c r="H311" s="292">
        <v>549771</v>
      </c>
      <c r="I311" s="292">
        <v>0</v>
      </c>
      <c r="J311" s="292">
        <v>0</v>
      </c>
      <c r="K311" s="292">
        <v>0</v>
      </c>
      <c r="L311" s="292">
        <v>549771</v>
      </c>
    </row>
    <row r="312" spans="1:12" ht="15.75" customHeight="1" x14ac:dyDescent="0.25">
      <c r="A312" s="83" t="s">
        <v>319</v>
      </c>
      <c r="B312" s="213" t="s">
        <v>462</v>
      </c>
      <c r="C312" s="213" t="s">
        <v>463</v>
      </c>
      <c r="D312" s="83">
        <v>346</v>
      </c>
      <c r="E312" s="280">
        <v>55556</v>
      </c>
      <c r="F312" s="280">
        <v>27581</v>
      </c>
      <c r="G312" s="191" t="s">
        <v>140</v>
      </c>
      <c r="H312" s="292">
        <v>27975</v>
      </c>
      <c r="I312" s="292">
        <v>0</v>
      </c>
      <c r="J312" s="292">
        <v>0</v>
      </c>
      <c r="K312" s="292">
        <v>0</v>
      </c>
      <c r="L312" s="292">
        <v>27975</v>
      </c>
    </row>
    <row r="313" spans="1:12" ht="15.75" customHeight="1" x14ac:dyDescent="0.25">
      <c r="A313" s="83" t="s">
        <v>319</v>
      </c>
      <c r="B313" s="213" t="s">
        <v>89</v>
      </c>
      <c r="C313" s="213" t="s">
        <v>28</v>
      </c>
      <c r="D313" s="83">
        <v>351</v>
      </c>
      <c r="E313" s="280">
        <v>141465</v>
      </c>
      <c r="F313" s="280">
        <v>72454</v>
      </c>
      <c r="G313" s="191" t="s">
        <v>140</v>
      </c>
      <c r="H313" s="292">
        <v>69011</v>
      </c>
      <c r="I313" s="292">
        <v>0</v>
      </c>
      <c r="J313" s="292">
        <v>0</v>
      </c>
      <c r="K313" s="292">
        <v>0</v>
      </c>
      <c r="L313" s="292">
        <v>69011</v>
      </c>
    </row>
    <row r="314" spans="1:12" ht="15.75" customHeight="1" x14ac:dyDescent="0.25">
      <c r="A314" s="202" t="s">
        <v>320</v>
      </c>
      <c r="B314" s="218" t="s">
        <v>140</v>
      </c>
      <c r="C314" s="218" t="s">
        <v>140</v>
      </c>
      <c r="D314" s="218" t="s">
        <v>140</v>
      </c>
      <c r="E314" s="244">
        <f>SUBTOTAL(109,school201314[Program
Costs])</f>
        <v>93259565</v>
      </c>
      <c r="F314" s="244">
        <f>SUBTOTAL(109,school201314[Less: Net Payments and Offsets2])</f>
        <v>75208470</v>
      </c>
      <c r="G314" s="218" t="s">
        <v>140</v>
      </c>
      <c r="H314" s="244">
        <f>SUBTOTAL(109,school201314[Accounts Payable
Balance])</f>
        <v>18051095</v>
      </c>
      <c r="I314" s="244">
        <f>SUBTOTAL(109,school201314[Established
Accounts Receivable])</f>
        <v>0</v>
      </c>
      <c r="J314" s="244">
        <f>SUBTOTAL(109,school201314[Less: Recovered Amount])</f>
        <v>0</v>
      </c>
      <c r="K314" s="244">
        <f>SUBTOTAL(109,school201314[Accounts Receivable
Balance])</f>
        <v>0</v>
      </c>
      <c r="L314" s="244">
        <f>SUBTOTAL(109,school201314[Net
Balance])</f>
        <v>18051095</v>
      </c>
    </row>
    <row r="315" spans="1:12" x14ac:dyDescent="0.25">
      <c r="A315" s="195" t="s">
        <v>141</v>
      </c>
      <c r="B315" s="142"/>
      <c r="C315" s="142"/>
      <c r="D315" s="142"/>
      <c r="E315" s="26"/>
      <c r="F315" s="26"/>
      <c r="G315" s="196"/>
      <c r="H315" s="26"/>
      <c r="I315" s="26"/>
      <c r="J315" s="26"/>
      <c r="K315" s="26"/>
      <c r="L315" s="26"/>
    </row>
    <row r="316" spans="1:12" ht="50.1" customHeight="1" x14ac:dyDescent="0.25">
      <c r="A316" s="10" t="s">
        <v>5</v>
      </c>
      <c r="B316" s="10" t="s">
        <v>6</v>
      </c>
      <c r="C316" s="10" t="s">
        <v>0</v>
      </c>
      <c r="D316" s="10" t="s">
        <v>441</v>
      </c>
      <c r="E316" s="215" t="s">
        <v>234</v>
      </c>
      <c r="F316" s="216" t="s">
        <v>452</v>
      </c>
      <c r="G316" s="217" t="s">
        <v>142</v>
      </c>
      <c r="H316" s="215" t="s">
        <v>444</v>
      </c>
      <c r="I316" s="215" t="s">
        <v>445</v>
      </c>
      <c r="J316" s="215" t="s">
        <v>446</v>
      </c>
      <c r="K316" s="215" t="s">
        <v>447</v>
      </c>
      <c r="L316" s="215" t="s">
        <v>305</v>
      </c>
    </row>
    <row r="317" spans="1:12" x14ac:dyDescent="0.25">
      <c r="A317" s="83" t="s">
        <v>321</v>
      </c>
      <c r="B317" s="213" t="s">
        <v>468</v>
      </c>
      <c r="C317" s="213" t="s">
        <v>469</v>
      </c>
      <c r="D317" s="83">
        <v>305</v>
      </c>
      <c r="E317" s="280">
        <v>74278</v>
      </c>
      <c r="F317" s="280">
        <v>21976</v>
      </c>
      <c r="G317" s="191" t="s">
        <v>140</v>
      </c>
      <c r="H317" s="292">
        <v>52302</v>
      </c>
      <c r="I317" s="292">
        <v>0</v>
      </c>
      <c r="J317" s="292">
        <v>0</v>
      </c>
      <c r="K317" s="292">
        <v>0</v>
      </c>
      <c r="L317" s="292">
        <v>52302</v>
      </c>
    </row>
    <row r="318" spans="1:12" ht="30.75" x14ac:dyDescent="0.25">
      <c r="A318" s="83" t="s">
        <v>321</v>
      </c>
      <c r="B318" s="213" t="s">
        <v>66</v>
      </c>
      <c r="C318" s="213" t="s">
        <v>7</v>
      </c>
      <c r="D318" s="83">
        <v>250</v>
      </c>
      <c r="E318" s="280">
        <v>140238</v>
      </c>
      <c r="F318" s="280">
        <v>56175</v>
      </c>
      <c r="G318" s="191" t="s">
        <v>140</v>
      </c>
      <c r="H318" s="292">
        <v>84063</v>
      </c>
      <c r="I318" s="292">
        <v>0</v>
      </c>
      <c r="J318" s="292">
        <v>0</v>
      </c>
      <c r="K318" s="292">
        <v>0</v>
      </c>
      <c r="L318" s="292">
        <v>84063</v>
      </c>
    </row>
    <row r="319" spans="1:12" ht="15" customHeight="1" x14ac:dyDescent="0.25">
      <c r="A319" s="83" t="s">
        <v>321</v>
      </c>
      <c r="B319" s="213" t="s">
        <v>489</v>
      </c>
      <c r="C319" s="213" t="s">
        <v>490</v>
      </c>
      <c r="D319" s="83">
        <v>349</v>
      </c>
      <c r="E319" s="280">
        <v>567515</v>
      </c>
      <c r="F319" s="280">
        <v>339292</v>
      </c>
      <c r="G319" s="191" t="s">
        <v>140</v>
      </c>
      <c r="H319" s="292">
        <v>228223</v>
      </c>
      <c r="I319" s="292">
        <v>0</v>
      </c>
      <c r="J319" s="292">
        <v>0</v>
      </c>
      <c r="K319" s="292">
        <v>0</v>
      </c>
      <c r="L319" s="292">
        <v>228223</v>
      </c>
    </row>
    <row r="320" spans="1:12" x14ac:dyDescent="0.25">
      <c r="A320" s="83" t="s">
        <v>321</v>
      </c>
      <c r="B320" s="213" t="s">
        <v>482</v>
      </c>
      <c r="C320" s="213" t="s">
        <v>335</v>
      </c>
      <c r="D320" s="83">
        <v>354</v>
      </c>
      <c r="E320" s="280">
        <v>138826</v>
      </c>
      <c r="F320" s="280">
        <v>96195</v>
      </c>
      <c r="G320" s="191" t="s">
        <v>140</v>
      </c>
      <c r="H320" s="292">
        <v>42631</v>
      </c>
      <c r="I320" s="292">
        <v>0</v>
      </c>
      <c r="J320" s="292">
        <v>0</v>
      </c>
      <c r="K320" s="292">
        <v>0</v>
      </c>
      <c r="L320" s="292">
        <v>42631</v>
      </c>
    </row>
    <row r="321" spans="1:12" ht="30.75" x14ac:dyDescent="0.25">
      <c r="A321" s="83" t="s">
        <v>321</v>
      </c>
      <c r="B321" s="213" t="s">
        <v>483</v>
      </c>
      <c r="C321" s="213" t="s">
        <v>484</v>
      </c>
      <c r="D321" s="83">
        <v>286</v>
      </c>
      <c r="E321" s="280">
        <v>3927</v>
      </c>
      <c r="F321" s="280">
        <v>2888</v>
      </c>
      <c r="G321" s="191" t="s">
        <v>140</v>
      </c>
      <c r="H321" s="292">
        <v>1039</v>
      </c>
      <c r="I321" s="292">
        <v>0</v>
      </c>
      <c r="J321" s="292">
        <v>0</v>
      </c>
      <c r="K321" s="292">
        <v>0</v>
      </c>
      <c r="L321" s="292">
        <v>1039</v>
      </c>
    </row>
    <row r="322" spans="1:12" ht="30.75" x14ac:dyDescent="0.25">
      <c r="A322" s="83" t="s">
        <v>321</v>
      </c>
      <c r="B322" s="213" t="s">
        <v>69</v>
      </c>
      <c r="C322" s="213" t="s">
        <v>10</v>
      </c>
      <c r="D322" s="83">
        <v>172</v>
      </c>
      <c r="E322" s="280">
        <v>112635</v>
      </c>
      <c r="F322" s="280">
        <v>61328</v>
      </c>
      <c r="G322" s="191" t="s">
        <v>140</v>
      </c>
      <c r="H322" s="292">
        <v>51307</v>
      </c>
      <c r="I322" s="292">
        <v>0</v>
      </c>
      <c r="J322" s="292">
        <v>0</v>
      </c>
      <c r="K322" s="292">
        <v>0</v>
      </c>
      <c r="L322" s="292">
        <v>51307</v>
      </c>
    </row>
    <row r="323" spans="1:12" ht="15.75" customHeight="1" x14ac:dyDescent="0.25">
      <c r="A323" s="83" t="s">
        <v>321</v>
      </c>
      <c r="B323" s="213" t="s">
        <v>464</v>
      </c>
      <c r="C323" s="213" t="s">
        <v>465</v>
      </c>
      <c r="D323" s="83">
        <v>278</v>
      </c>
      <c r="E323" s="280">
        <v>125147</v>
      </c>
      <c r="F323" s="280">
        <v>88618</v>
      </c>
      <c r="G323" s="191" t="s">
        <v>140</v>
      </c>
      <c r="H323" s="292">
        <v>36529</v>
      </c>
      <c r="I323" s="292">
        <v>0</v>
      </c>
      <c r="J323" s="292">
        <v>0</v>
      </c>
      <c r="K323" s="292">
        <v>0</v>
      </c>
      <c r="L323" s="292">
        <v>36529</v>
      </c>
    </row>
    <row r="324" spans="1:12" x14ac:dyDescent="0.25">
      <c r="A324" s="83" t="s">
        <v>321</v>
      </c>
      <c r="B324" s="213" t="s">
        <v>485</v>
      </c>
      <c r="C324" s="213" t="s">
        <v>486</v>
      </c>
      <c r="D324" s="83">
        <v>337</v>
      </c>
      <c r="E324" s="280">
        <v>25128</v>
      </c>
      <c r="F324" s="280">
        <v>9606</v>
      </c>
      <c r="G324" s="191" t="s">
        <v>140</v>
      </c>
      <c r="H324" s="292">
        <v>15522</v>
      </c>
      <c r="I324" s="292">
        <v>0</v>
      </c>
      <c r="J324" s="292">
        <v>0</v>
      </c>
      <c r="K324" s="292">
        <v>0</v>
      </c>
      <c r="L324" s="292">
        <v>15522</v>
      </c>
    </row>
    <row r="325" spans="1:12" x14ac:dyDescent="0.25">
      <c r="A325" s="83" t="s">
        <v>321</v>
      </c>
      <c r="B325" s="213" t="s">
        <v>470</v>
      </c>
      <c r="C325" s="213" t="s">
        <v>471</v>
      </c>
      <c r="D325" s="83">
        <v>309</v>
      </c>
      <c r="E325" s="280">
        <v>1813</v>
      </c>
      <c r="F325" s="280">
        <v>1000</v>
      </c>
      <c r="G325" s="191" t="s">
        <v>140</v>
      </c>
      <c r="H325" s="292">
        <v>813</v>
      </c>
      <c r="I325" s="292">
        <v>0</v>
      </c>
      <c r="J325" s="292">
        <v>0</v>
      </c>
      <c r="K325" s="292">
        <v>0</v>
      </c>
      <c r="L325" s="292">
        <v>813</v>
      </c>
    </row>
    <row r="326" spans="1:12" ht="30.75" x14ac:dyDescent="0.25">
      <c r="A326" s="83" t="s">
        <v>321</v>
      </c>
      <c r="B326" s="213" t="s">
        <v>72</v>
      </c>
      <c r="C326" s="213" t="s">
        <v>13</v>
      </c>
      <c r="D326" s="83">
        <v>11</v>
      </c>
      <c r="E326" s="280">
        <v>3492266</v>
      </c>
      <c r="F326" s="280">
        <v>2246286</v>
      </c>
      <c r="G326" s="191" t="s">
        <v>140</v>
      </c>
      <c r="H326" s="292">
        <v>1245980</v>
      </c>
      <c r="I326" s="292">
        <v>0</v>
      </c>
      <c r="J326" s="292">
        <v>0</v>
      </c>
      <c r="K326" s="292">
        <v>0</v>
      </c>
      <c r="L326" s="292">
        <v>1245980</v>
      </c>
    </row>
    <row r="327" spans="1:12" ht="15.75" customHeight="1" x14ac:dyDescent="0.25">
      <c r="A327" s="83" t="s">
        <v>321</v>
      </c>
      <c r="B327" s="213" t="s">
        <v>73</v>
      </c>
      <c r="C327" s="213" t="s">
        <v>14</v>
      </c>
      <c r="D327" s="83">
        <v>313</v>
      </c>
      <c r="E327" s="280">
        <v>632114</v>
      </c>
      <c r="F327" s="280">
        <v>302976</v>
      </c>
      <c r="G327" s="191" t="s">
        <v>140</v>
      </c>
      <c r="H327" s="292">
        <v>329138</v>
      </c>
      <c r="I327" s="292">
        <v>0</v>
      </c>
      <c r="J327" s="292">
        <v>0</v>
      </c>
      <c r="K327" s="292">
        <v>0</v>
      </c>
      <c r="L327" s="292">
        <v>329138</v>
      </c>
    </row>
    <row r="328" spans="1:12" ht="30.75" x14ac:dyDescent="0.25">
      <c r="A328" s="83" t="s">
        <v>321</v>
      </c>
      <c r="B328" s="213" t="s">
        <v>70</v>
      </c>
      <c r="C328" s="213" t="s">
        <v>11</v>
      </c>
      <c r="D328" s="83">
        <v>330</v>
      </c>
      <c r="E328" s="280">
        <v>791895</v>
      </c>
      <c r="F328" s="280">
        <v>385103</v>
      </c>
      <c r="G328" s="191" t="s">
        <v>140</v>
      </c>
      <c r="H328" s="292">
        <v>406792</v>
      </c>
      <c r="I328" s="292">
        <v>0</v>
      </c>
      <c r="J328" s="292">
        <v>0</v>
      </c>
      <c r="K328" s="292">
        <v>0</v>
      </c>
      <c r="L328" s="292">
        <v>406792</v>
      </c>
    </row>
    <row r="329" spans="1:12" ht="45.75" x14ac:dyDescent="0.25">
      <c r="A329" s="83" t="s">
        <v>321</v>
      </c>
      <c r="B329" s="213" t="s">
        <v>67</v>
      </c>
      <c r="C329" s="213" t="s">
        <v>8</v>
      </c>
      <c r="D329" s="83">
        <v>272</v>
      </c>
      <c r="E329" s="280">
        <v>994982</v>
      </c>
      <c r="F329" s="280">
        <v>714840</v>
      </c>
      <c r="G329" s="191" t="s">
        <v>140</v>
      </c>
      <c r="H329" s="292">
        <v>280142</v>
      </c>
      <c r="I329" s="292">
        <v>0</v>
      </c>
      <c r="J329" s="292">
        <v>0</v>
      </c>
      <c r="K329" s="292">
        <v>0</v>
      </c>
      <c r="L329" s="292">
        <v>280142</v>
      </c>
    </row>
    <row r="330" spans="1:12" ht="45.75" x14ac:dyDescent="0.25">
      <c r="A330" s="83" t="s">
        <v>321</v>
      </c>
      <c r="B330" s="213" t="s">
        <v>82</v>
      </c>
      <c r="C330" s="213" t="s">
        <v>23</v>
      </c>
      <c r="D330" s="83">
        <v>276</v>
      </c>
      <c r="E330" s="280">
        <v>107115</v>
      </c>
      <c r="F330" s="280">
        <v>46927</v>
      </c>
      <c r="G330" s="191" t="s">
        <v>140</v>
      </c>
      <c r="H330" s="292">
        <v>60188</v>
      </c>
      <c r="I330" s="292">
        <v>0</v>
      </c>
      <c r="J330" s="292">
        <v>0</v>
      </c>
      <c r="K330" s="292">
        <v>0</v>
      </c>
      <c r="L330" s="292">
        <v>60188</v>
      </c>
    </row>
    <row r="331" spans="1:12" ht="75.75" x14ac:dyDescent="0.25">
      <c r="A331" s="83" t="s">
        <v>321</v>
      </c>
      <c r="B331" s="213" t="s">
        <v>448</v>
      </c>
      <c r="C331" s="213" t="s">
        <v>449</v>
      </c>
      <c r="D331" s="83">
        <v>292</v>
      </c>
      <c r="E331" s="280">
        <v>1233342</v>
      </c>
      <c r="F331" s="280">
        <v>557867</v>
      </c>
      <c r="G331" s="191" t="s">
        <v>140</v>
      </c>
      <c r="H331" s="292">
        <v>675475</v>
      </c>
      <c r="I331" s="292">
        <v>0</v>
      </c>
      <c r="J331" s="292">
        <v>0</v>
      </c>
      <c r="K331" s="292">
        <v>0</v>
      </c>
      <c r="L331" s="292">
        <v>675475</v>
      </c>
    </row>
    <row r="332" spans="1:12" ht="30.75" x14ac:dyDescent="0.25">
      <c r="A332" s="83" t="s">
        <v>321</v>
      </c>
      <c r="B332" s="213" t="s">
        <v>71</v>
      </c>
      <c r="C332" s="213" t="s">
        <v>12</v>
      </c>
      <c r="D332" s="83">
        <v>209</v>
      </c>
      <c r="E332" s="280">
        <v>169611</v>
      </c>
      <c r="F332" s="280">
        <v>1000</v>
      </c>
      <c r="G332" s="191" t="s">
        <v>140</v>
      </c>
      <c r="H332" s="292">
        <v>168611</v>
      </c>
      <c r="I332" s="292">
        <v>0</v>
      </c>
      <c r="J332" s="292">
        <v>0</v>
      </c>
      <c r="K332" s="292">
        <v>0</v>
      </c>
      <c r="L332" s="292">
        <v>168611</v>
      </c>
    </row>
    <row r="333" spans="1:12" x14ac:dyDescent="0.25">
      <c r="A333" s="83" t="s">
        <v>321</v>
      </c>
      <c r="B333" s="213" t="s">
        <v>74</v>
      </c>
      <c r="C333" s="213" t="s">
        <v>15</v>
      </c>
      <c r="D333" s="83">
        <v>183</v>
      </c>
      <c r="E333" s="280">
        <v>85755</v>
      </c>
      <c r="F333" s="280">
        <v>48045</v>
      </c>
      <c r="G333" s="191" t="s">
        <v>140</v>
      </c>
      <c r="H333" s="292">
        <v>37710</v>
      </c>
      <c r="I333" s="292">
        <v>0</v>
      </c>
      <c r="J333" s="292">
        <v>0</v>
      </c>
      <c r="K333" s="292">
        <v>0</v>
      </c>
      <c r="L333" s="292">
        <v>37710</v>
      </c>
    </row>
    <row r="334" spans="1:12" x14ac:dyDescent="0.25">
      <c r="A334" s="83" t="s">
        <v>321</v>
      </c>
      <c r="B334" s="213" t="s">
        <v>455</v>
      </c>
      <c r="C334" s="213" t="s">
        <v>456</v>
      </c>
      <c r="D334" s="83">
        <v>251</v>
      </c>
      <c r="E334" s="280">
        <v>81057</v>
      </c>
      <c r="F334" s="280">
        <v>30477</v>
      </c>
      <c r="G334" s="191" t="s">
        <v>140</v>
      </c>
      <c r="H334" s="292">
        <v>50580</v>
      </c>
      <c r="I334" s="292">
        <v>0</v>
      </c>
      <c r="J334" s="292">
        <v>0</v>
      </c>
      <c r="K334" s="292">
        <v>0</v>
      </c>
      <c r="L334" s="292">
        <v>50580</v>
      </c>
    </row>
    <row r="335" spans="1:12" ht="30.75" x14ac:dyDescent="0.25">
      <c r="A335" s="83" t="s">
        <v>321</v>
      </c>
      <c r="B335" s="213" t="s">
        <v>472</v>
      </c>
      <c r="C335" s="213" t="s">
        <v>11</v>
      </c>
      <c r="D335" s="83">
        <v>91</v>
      </c>
      <c r="E335" s="280">
        <v>2506</v>
      </c>
      <c r="F335" s="280">
        <v>2074</v>
      </c>
      <c r="G335" s="191" t="s">
        <v>140</v>
      </c>
      <c r="H335" s="292">
        <v>432</v>
      </c>
      <c r="I335" s="292">
        <v>0</v>
      </c>
      <c r="J335" s="292">
        <v>0</v>
      </c>
      <c r="K335" s="292">
        <v>0</v>
      </c>
      <c r="L335" s="292">
        <v>432</v>
      </c>
    </row>
    <row r="336" spans="1:12" x14ac:dyDescent="0.25">
      <c r="A336" s="83" t="s">
        <v>321</v>
      </c>
      <c r="B336" s="213" t="s">
        <v>75</v>
      </c>
      <c r="C336" s="213" t="s">
        <v>16</v>
      </c>
      <c r="D336" s="83">
        <v>192</v>
      </c>
      <c r="E336" s="280">
        <v>81021</v>
      </c>
      <c r="F336" s="280">
        <v>44621</v>
      </c>
      <c r="G336" s="191" t="s">
        <v>140</v>
      </c>
      <c r="H336" s="292">
        <v>36400</v>
      </c>
      <c r="I336" s="292">
        <v>0</v>
      </c>
      <c r="J336" s="292">
        <v>0</v>
      </c>
      <c r="K336" s="292">
        <v>0</v>
      </c>
      <c r="L336" s="292">
        <v>36400</v>
      </c>
    </row>
    <row r="337" spans="1:12" ht="30.75" x14ac:dyDescent="0.25">
      <c r="A337" s="83" t="s">
        <v>321</v>
      </c>
      <c r="B337" s="213" t="s">
        <v>76</v>
      </c>
      <c r="C337" s="213" t="s">
        <v>17</v>
      </c>
      <c r="D337" s="83">
        <v>297</v>
      </c>
      <c r="E337" s="280">
        <v>187663955</v>
      </c>
      <c r="F337" s="280">
        <v>108783353</v>
      </c>
      <c r="G337" s="191" t="s">
        <v>140</v>
      </c>
      <c r="H337" s="292">
        <v>78880602</v>
      </c>
      <c r="I337" s="292">
        <v>0</v>
      </c>
      <c r="J337" s="292">
        <v>0</v>
      </c>
      <c r="K337" s="292">
        <v>0</v>
      </c>
      <c r="L337" s="292">
        <v>78880602</v>
      </c>
    </row>
    <row r="338" spans="1:12" ht="15" customHeight="1" x14ac:dyDescent="0.25">
      <c r="A338" s="83" t="s">
        <v>321</v>
      </c>
      <c r="B338" s="213" t="s">
        <v>77</v>
      </c>
      <c r="C338" s="213" t="s">
        <v>18</v>
      </c>
      <c r="D338" s="83">
        <v>166</v>
      </c>
      <c r="E338" s="280">
        <v>1467642</v>
      </c>
      <c r="F338" s="280">
        <v>867256</v>
      </c>
      <c r="G338" s="191" t="s">
        <v>140</v>
      </c>
      <c r="H338" s="292">
        <v>600386</v>
      </c>
      <c r="I338" s="292">
        <v>0</v>
      </c>
      <c r="J338" s="292">
        <v>0</v>
      </c>
      <c r="K338" s="292">
        <v>0</v>
      </c>
      <c r="L338" s="292">
        <v>600386</v>
      </c>
    </row>
    <row r="339" spans="1:12" x14ac:dyDescent="0.25">
      <c r="A339" s="83" t="s">
        <v>321</v>
      </c>
      <c r="B339" s="213" t="s">
        <v>473</v>
      </c>
      <c r="C339" s="213" t="s">
        <v>474</v>
      </c>
      <c r="D339" s="83">
        <v>268</v>
      </c>
      <c r="E339" s="280">
        <v>1367206</v>
      </c>
      <c r="F339" s="280">
        <v>476655</v>
      </c>
      <c r="G339" s="191" t="s">
        <v>140</v>
      </c>
      <c r="H339" s="292">
        <v>890551</v>
      </c>
      <c r="I339" s="292">
        <v>0</v>
      </c>
      <c r="J339" s="292">
        <v>0</v>
      </c>
      <c r="K339" s="292">
        <v>0</v>
      </c>
      <c r="L339" s="292">
        <v>890551</v>
      </c>
    </row>
    <row r="340" spans="1:12" x14ac:dyDescent="0.25">
      <c r="A340" s="83" t="s">
        <v>321</v>
      </c>
      <c r="B340" s="213" t="s">
        <v>80</v>
      </c>
      <c r="C340" s="213" t="s">
        <v>21</v>
      </c>
      <c r="D340" s="83">
        <v>32</v>
      </c>
      <c r="E340" s="280">
        <v>752478</v>
      </c>
      <c r="F340" s="280">
        <v>594151</v>
      </c>
      <c r="G340" s="191" t="s">
        <v>140</v>
      </c>
      <c r="H340" s="292">
        <v>158327</v>
      </c>
      <c r="I340" s="292">
        <v>0</v>
      </c>
      <c r="J340" s="292">
        <v>0</v>
      </c>
      <c r="K340" s="292">
        <v>0</v>
      </c>
      <c r="L340" s="292">
        <v>158327</v>
      </c>
    </row>
    <row r="341" spans="1:12" x14ac:dyDescent="0.25">
      <c r="A341" s="83" t="s">
        <v>321</v>
      </c>
      <c r="B341" s="213" t="s">
        <v>491</v>
      </c>
      <c r="C341" s="213" t="s">
        <v>19</v>
      </c>
      <c r="D341" s="83">
        <v>230</v>
      </c>
      <c r="E341" s="280">
        <v>845230</v>
      </c>
      <c r="F341" s="280">
        <v>696961</v>
      </c>
      <c r="G341" s="191" t="s">
        <v>140</v>
      </c>
      <c r="H341" s="292">
        <v>148269</v>
      </c>
      <c r="I341" s="292">
        <v>0</v>
      </c>
      <c r="J341" s="292">
        <v>0</v>
      </c>
      <c r="K341" s="292">
        <v>0</v>
      </c>
      <c r="L341" s="292">
        <v>148269</v>
      </c>
    </row>
    <row r="342" spans="1:12" x14ac:dyDescent="0.25">
      <c r="A342" s="83" t="s">
        <v>321</v>
      </c>
      <c r="B342" s="213" t="s">
        <v>79</v>
      </c>
      <c r="C342" s="213" t="s">
        <v>20</v>
      </c>
      <c r="D342" s="83">
        <v>357</v>
      </c>
      <c r="E342" s="280">
        <v>1824109</v>
      </c>
      <c r="F342" s="280">
        <v>1568232</v>
      </c>
      <c r="G342" s="191" t="s">
        <v>140</v>
      </c>
      <c r="H342" s="292">
        <v>255877</v>
      </c>
      <c r="I342" s="292">
        <v>0</v>
      </c>
      <c r="J342" s="292">
        <v>0</v>
      </c>
      <c r="K342" s="292">
        <v>0</v>
      </c>
      <c r="L342" s="292">
        <v>255877</v>
      </c>
    </row>
    <row r="343" spans="1:12" x14ac:dyDescent="0.25">
      <c r="A343" s="83" t="s">
        <v>321</v>
      </c>
      <c r="B343" s="213" t="s">
        <v>475</v>
      </c>
      <c r="C343" s="213" t="s">
        <v>476</v>
      </c>
      <c r="D343" s="83">
        <v>148</v>
      </c>
      <c r="E343" s="280">
        <v>14148</v>
      </c>
      <c r="F343" s="280">
        <v>3224</v>
      </c>
      <c r="G343" s="191" t="s">
        <v>140</v>
      </c>
      <c r="H343" s="292">
        <v>10924</v>
      </c>
      <c r="I343" s="292">
        <v>0</v>
      </c>
      <c r="J343" s="292">
        <v>0</v>
      </c>
      <c r="K343" s="292">
        <v>0</v>
      </c>
      <c r="L343" s="292">
        <v>10924</v>
      </c>
    </row>
    <row r="344" spans="1:12" x14ac:dyDescent="0.25">
      <c r="A344" s="83" t="s">
        <v>321</v>
      </c>
      <c r="B344" s="213" t="s">
        <v>81</v>
      </c>
      <c r="C344" s="213" t="s">
        <v>22</v>
      </c>
      <c r="D344" s="83">
        <v>153</v>
      </c>
      <c r="E344" s="280">
        <v>655319</v>
      </c>
      <c r="F344" s="280">
        <v>407291</v>
      </c>
      <c r="G344" s="191" t="s">
        <v>140</v>
      </c>
      <c r="H344" s="292">
        <v>248028</v>
      </c>
      <c r="I344" s="292">
        <v>0</v>
      </c>
      <c r="J344" s="292">
        <v>0</v>
      </c>
      <c r="K344" s="292">
        <v>0</v>
      </c>
      <c r="L344" s="292">
        <v>248028</v>
      </c>
    </row>
    <row r="345" spans="1:12" x14ac:dyDescent="0.25">
      <c r="A345" s="83" t="s">
        <v>321</v>
      </c>
      <c r="B345" s="213" t="s">
        <v>457</v>
      </c>
      <c r="C345" s="213" t="s">
        <v>458</v>
      </c>
      <c r="D345" s="83">
        <v>155</v>
      </c>
      <c r="E345" s="280">
        <v>490395</v>
      </c>
      <c r="F345" s="280">
        <v>7255</v>
      </c>
      <c r="G345" s="191" t="s">
        <v>140</v>
      </c>
      <c r="H345" s="292">
        <v>483140</v>
      </c>
      <c r="I345" s="292">
        <v>0</v>
      </c>
      <c r="J345" s="292">
        <v>0</v>
      </c>
      <c r="K345" s="292">
        <v>0</v>
      </c>
      <c r="L345" s="292">
        <v>483140</v>
      </c>
    </row>
    <row r="346" spans="1:12" x14ac:dyDescent="0.25">
      <c r="A346" s="83" t="s">
        <v>321</v>
      </c>
      <c r="B346" s="213" t="s">
        <v>492</v>
      </c>
      <c r="C346" s="213" t="s">
        <v>339</v>
      </c>
      <c r="D346" s="83">
        <v>319</v>
      </c>
      <c r="E346" s="280">
        <v>3769865</v>
      </c>
      <c r="F346" s="280">
        <v>1953055</v>
      </c>
      <c r="G346" s="191" t="s">
        <v>140</v>
      </c>
      <c r="H346" s="292">
        <v>1816810</v>
      </c>
      <c r="I346" s="292">
        <v>0</v>
      </c>
      <c r="J346" s="292">
        <v>0</v>
      </c>
      <c r="K346" s="292">
        <v>0</v>
      </c>
      <c r="L346" s="292">
        <v>1816810</v>
      </c>
    </row>
    <row r="347" spans="1:12" x14ac:dyDescent="0.25">
      <c r="A347" s="83" t="s">
        <v>321</v>
      </c>
      <c r="B347" s="213" t="s">
        <v>83</v>
      </c>
      <c r="C347" s="213" t="s">
        <v>17</v>
      </c>
      <c r="D347" s="83">
        <v>48</v>
      </c>
      <c r="E347" s="280">
        <v>2724441</v>
      </c>
      <c r="F347" s="280">
        <v>1912990</v>
      </c>
      <c r="G347" s="191" t="s">
        <v>140</v>
      </c>
      <c r="H347" s="292">
        <v>811451</v>
      </c>
      <c r="I347" s="292">
        <v>0</v>
      </c>
      <c r="J347" s="292">
        <v>0</v>
      </c>
      <c r="K347" s="292">
        <v>0</v>
      </c>
      <c r="L347" s="292">
        <v>811451</v>
      </c>
    </row>
    <row r="348" spans="1:12" x14ac:dyDescent="0.25">
      <c r="A348" s="83" t="s">
        <v>321</v>
      </c>
      <c r="B348" s="213" t="s">
        <v>326</v>
      </c>
      <c r="C348" s="213" t="s">
        <v>327</v>
      </c>
      <c r="D348" s="83">
        <v>218</v>
      </c>
      <c r="E348" s="280">
        <v>211524</v>
      </c>
      <c r="F348" s="280">
        <v>98885</v>
      </c>
      <c r="G348" s="191" t="s">
        <v>140</v>
      </c>
      <c r="H348" s="292">
        <v>112639</v>
      </c>
      <c r="I348" s="292">
        <v>0</v>
      </c>
      <c r="J348" s="292">
        <v>0</v>
      </c>
      <c r="K348" s="292">
        <v>0</v>
      </c>
      <c r="L348" s="292">
        <v>112639</v>
      </c>
    </row>
    <row r="349" spans="1:12" x14ac:dyDescent="0.25">
      <c r="A349" s="83" t="s">
        <v>321</v>
      </c>
      <c r="B349" s="213" t="s">
        <v>84</v>
      </c>
      <c r="C349" s="213" t="s">
        <v>24</v>
      </c>
      <c r="D349" s="83">
        <v>350</v>
      </c>
      <c r="E349" s="280">
        <v>181556</v>
      </c>
      <c r="F349" s="280">
        <v>92283</v>
      </c>
      <c r="G349" s="191" t="s">
        <v>140</v>
      </c>
      <c r="H349" s="292">
        <v>89273</v>
      </c>
      <c r="I349" s="292">
        <v>1000</v>
      </c>
      <c r="J349" s="292">
        <v>1000</v>
      </c>
      <c r="K349" s="292">
        <v>0</v>
      </c>
      <c r="L349" s="292">
        <v>89273</v>
      </c>
    </row>
    <row r="350" spans="1:12" x14ac:dyDescent="0.25">
      <c r="A350" s="83" t="s">
        <v>321</v>
      </c>
      <c r="B350" s="213" t="s">
        <v>459</v>
      </c>
      <c r="C350" s="213" t="s">
        <v>460</v>
      </c>
      <c r="D350" s="83">
        <v>173</v>
      </c>
      <c r="E350" s="280">
        <v>269560</v>
      </c>
      <c r="F350" s="280">
        <v>180691</v>
      </c>
      <c r="G350" s="191" t="s">
        <v>140</v>
      </c>
      <c r="H350" s="292">
        <v>88869</v>
      </c>
      <c r="I350" s="292">
        <v>0</v>
      </c>
      <c r="J350" s="292">
        <v>0</v>
      </c>
      <c r="K350" s="292">
        <v>0</v>
      </c>
      <c r="L350" s="292">
        <v>88869</v>
      </c>
    </row>
    <row r="351" spans="1:12" x14ac:dyDescent="0.25">
      <c r="A351" s="83" t="s">
        <v>321</v>
      </c>
      <c r="B351" s="213" t="s">
        <v>493</v>
      </c>
      <c r="C351" s="213" t="s">
        <v>494</v>
      </c>
      <c r="D351" s="83">
        <v>335</v>
      </c>
      <c r="E351" s="280">
        <v>3331</v>
      </c>
      <c r="F351" s="280">
        <v>1000</v>
      </c>
      <c r="G351" s="191" t="s">
        <v>140</v>
      </c>
      <c r="H351" s="292">
        <v>2331</v>
      </c>
      <c r="I351" s="292">
        <v>0</v>
      </c>
      <c r="J351" s="292">
        <v>0</v>
      </c>
      <c r="K351" s="292">
        <v>0</v>
      </c>
      <c r="L351" s="292">
        <v>2331</v>
      </c>
    </row>
    <row r="352" spans="1:12" ht="15" customHeight="1" x14ac:dyDescent="0.25">
      <c r="A352" s="83" t="s">
        <v>321</v>
      </c>
      <c r="B352" s="213" t="s">
        <v>466</v>
      </c>
      <c r="C352" s="213" t="s">
        <v>467</v>
      </c>
      <c r="D352" s="83">
        <v>261</v>
      </c>
      <c r="E352" s="280">
        <v>120472</v>
      </c>
      <c r="F352" s="280">
        <v>88845</v>
      </c>
      <c r="G352" s="191" t="s">
        <v>140</v>
      </c>
      <c r="H352" s="292">
        <v>31627</v>
      </c>
      <c r="I352" s="292">
        <v>0</v>
      </c>
      <c r="J352" s="292">
        <v>0</v>
      </c>
      <c r="K352" s="292">
        <v>0</v>
      </c>
      <c r="L352" s="292">
        <v>31627</v>
      </c>
    </row>
    <row r="353" spans="1:12" ht="15" customHeight="1" x14ac:dyDescent="0.25">
      <c r="A353" s="83" t="s">
        <v>321</v>
      </c>
      <c r="B353" s="213" t="s">
        <v>461</v>
      </c>
      <c r="C353" s="213" t="s">
        <v>25</v>
      </c>
      <c r="D353" s="83">
        <v>244</v>
      </c>
      <c r="E353" s="280">
        <v>298013</v>
      </c>
      <c r="F353" s="280">
        <v>210002</v>
      </c>
      <c r="G353" s="191" t="s">
        <v>140</v>
      </c>
      <c r="H353" s="292">
        <v>88011</v>
      </c>
      <c r="I353" s="292">
        <v>0</v>
      </c>
      <c r="J353" s="292">
        <v>0</v>
      </c>
      <c r="K353" s="292">
        <v>0</v>
      </c>
      <c r="L353" s="292">
        <v>88011</v>
      </c>
    </row>
    <row r="354" spans="1:12" ht="15" customHeight="1" x14ac:dyDescent="0.25">
      <c r="A354" s="83" t="s">
        <v>321</v>
      </c>
      <c r="B354" s="213" t="s">
        <v>477</v>
      </c>
      <c r="C354" s="213" t="s">
        <v>17</v>
      </c>
      <c r="D354" s="83">
        <v>280</v>
      </c>
      <c r="E354" s="280">
        <v>11550</v>
      </c>
      <c r="F354" s="280">
        <v>1000</v>
      </c>
      <c r="G354" s="191" t="s">
        <v>140</v>
      </c>
      <c r="H354" s="292">
        <v>10550</v>
      </c>
      <c r="I354" s="292">
        <v>0</v>
      </c>
      <c r="J354" s="292">
        <v>0</v>
      </c>
      <c r="K354" s="292">
        <v>0</v>
      </c>
      <c r="L354" s="292">
        <v>10550</v>
      </c>
    </row>
    <row r="355" spans="1:12" x14ac:dyDescent="0.25">
      <c r="A355" s="83" t="s">
        <v>321</v>
      </c>
      <c r="B355" s="213" t="s">
        <v>85</v>
      </c>
      <c r="C355" s="213" t="s">
        <v>26</v>
      </c>
      <c r="D355" s="83">
        <v>171</v>
      </c>
      <c r="E355" s="280">
        <v>481374</v>
      </c>
      <c r="F355" s="280">
        <v>297786</v>
      </c>
      <c r="G355" s="191" t="s">
        <v>140</v>
      </c>
      <c r="H355" s="292">
        <v>183588</v>
      </c>
      <c r="I355" s="292">
        <v>0</v>
      </c>
      <c r="J355" s="292">
        <v>0</v>
      </c>
      <c r="K355" s="292">
        <v>0</v>
      </c>
      <c r="L355" s="292">
        <v>183588</v>
      </c>
    </row>
    <row r="356" spans="1:12" ht="30.75" x14ac:dyDescent="0.25">
      <c r="A356" s="83" t="s">
        <v>321</v>
      </c>
      <c r="B356" s="213" t="s">
        <v>86</v>
      </c>
      <c r="C356" s="213" t="s">
        <v>25</v>
      </c>
      <c r="D356" s="83">
        <v>258</v>
      </c>
      <c r="E356" s="280">
        <v>896710</v>
      </c>
      <c r="F356" s="280">
        <v>389941</v>
      </c>
      <c r="G356" s="191" t="s">
        <v>140</v>
      </c>
      <c r="H356" s="292">
        <v>506769</v>
      </c>
      <c r="I356" s="292">
        <v>0</v>
      </c>
      <c r="J356" s="292">
        <v>0</v>
      </c>
      <c r="K356" s="292">
        <v>0</v>
      </c>
      <c r="L356" s="292">
        <v>506769</v>
      </c>
    </row>
    <row r="357" spans="1:12" x14ac:dyDescent="0.25">
      <c r="A357" s="83" t="s">
        <v>321</v>
      </c>
      <c r="B357" s="213" t="s">
        <v>480</v>
      </c>
      <c r="C357" s="213" t="s">
        <v>481</v>
      </c>
      <c r="D357" s="83">
        <v>308</v>
      </c>
      <c r="E357" s="280">
        <v>2483</v>
      </c>
      <c r="F357" s="280">
        <v>1000</v>
      </c>
      <c r="G357" s="191" t="s">
        <v>140</v>
      </c>
      <c r="H357" s="292">
        <v>1483</v>
      </c>
      <c r="I357" s="292">
        <v>0</v>
      </c>
      <c r="J357" s="292">
        <v>0</v>
      </c>
      <c r="K357" s="292">
        <v>0</v>
      </c>
      <c r="L357" s="292">
        <v>1483</v>
      </c>
    </row>
    <row r="358" spans="1:12" x14ac:dyDescent="0.25">
      <c r="A358" s="83" t="s">
        <v>321</v>
      </c>
      <c r="B358" s="213" t="s">
        <v>87</v>
      </c>
      <c r="C358" s="213" t="s">
        <v>17</v>
      </c>
      <c r="D358" s="83">
        <v>260</v>
      </c>
      <c r="E358" s="280">
        <v>3323409</v>
      </c>
      <c r="F358" s="280">
        <v>2110826</v>
      </c>
      <c r="G358" s="191" t="s">
        <v>140</v>
      </c>
      <c r="H358" s="292">
        <v>1212583</v>
      </c>
      <c r="I358" s="292">
        <v>0</v>
      </c>
      <c r="J358" s="292">
        <v>0</v>
      </c>
      <c r="K358" s="292">
        <v>0</v>
      </c>
      <c r="L358" s="292">
        <v>1212583</v>
      </c>
    </row>
    <row r="359" spans="1:12" x14ac:dyDescent="0.25">
      <c r="A359" s="83" t="s">
        <v>321</v>
      </c>
      <c r="B359" s="213" t="s">
        <v>462</v>
      </c>
      <c r="C359" s="213" t="s">
        <v>463</v>
      </c>
      <c r="D359" s="83">
        <v>346</v>
      </c>
      <c r="E359" s="280">
        <v>80974</v>
      </c>
      <c r="F359" s="280">
        <v>41603</v>
      </c>
      <c r="G359" s="191" t="s">
        <v>140</v>
      </c>
      <c r="H359" s="292">
        <v>39371</v>
      </c>
      <c r="I359" s="292">
        <v>0</v>
      </c>
      <c r="J359" s="292">
        <v>0</v>
      </c>
      <c r="K359" s="292">
        <v>0</v>
      </c>
      <c r="L359" s="292">
        <v>39371</v>
      </c>
    </row>
    <row r="360" spans="1:12" x14ac:dyDescent="0.25">
      <c r="A360" s="83" t="s">
        <v>321</v>
      </c>
      <c r="B360" s="213" t="s">
        <v>89</v>
      </c>
      <c r="C360" s="213" t="s">
        <v>28</v>
      </c>
      <c r="D360" s="83">
        <v>351</v>
      </c>
      <c r="E360" s="280">
        <v>165895</v>
      </c>
      <c r="F360" s="280">
        <v>126335</v>
      </c>
      <c r="G360" s="191" t="s">
        <v>140</v>
      </c>
      <c r="H360" s="292">
        <v>39560</v>
      </c>
      <c r="I360" s="292">
        <v>0</v>
      </c>
      <c r="J360" s="292">
        <v>0</v>
      </c>
      <c r="K360" s="292">
        <v>0</v>
      </c>
      <c r="L360" s="292">
        <v>39560</v>
      </c>
    </row>
    <row r="361" spans="1:12" ht="15.75" customHeight="1" x14ac:dyDescent="0.25">
      <c r="A361" s="202" t="s">
        <v>322</v>
      </c>
      <c r="B361" s="218" t="s">
        <v>140</v>
      </c>
      <c r="C361" s="218" t="s">
        <v>140</v>
      </c>
      <c r="D361" s="218" t="s">
        <v>140</v>
      </c>
      <c r="E361" s="244">
        <f>SUBTOTAL(109,school201213[Program
Costs])</f>
        <v>216482810</v>
      </c>
      <c r="F361" s="244">
        <f>SUBTOTAL(109,school201213[Less: Net Payments and Offsets2])</f>
        <v>125967914</v>
      </c>
      <c r="G361" s="218" t="s">
        <v>140</v>
      </c>
      <c r="H361" s="244">
        <f>SUBTOTAL(109,school201213[Accounts Payable
Balance])</f>
        <v>90514896</v>
      </c>
      <c r="I361" s="244">
        <f>SUBTOTAL(109,school201213[Established
Accounts Receivable])</f>
        <v>1000</v>
      </c>
      <c r="J361" s="244">
        <f>SUBTOTAL(109,school201213[Less: Recovered Amount])</f>
        <v>1000</v>
      </c>
      <c r="K361" s="244">
        <f>SUBTOTAL(109,school201213[Accounts Receivable
Balance])</f>
        <v>0</v>
      </c>
      <c r="L361" s="244">
        <f>SUBTOTAL(109,school201213[Net
Balance])</f>
        <v>90514896</v>
      </c>
    </row>
    <row r="362" spans="1:12" x14ac:dyDescent="0.25">
      <c r="A362" s="195" t="s">
        <v>141</v>
      </c>
      <c r="B362" s="142"/>
      <c r="C362" s="142"/>
      <c r="D362" s="142"/>
      <c r="E362" s="26"/>
      <c r="F362" s="26"/>
      <c r="G362" s="196"/>
      <c r="H362" s="26"/>
      <c r="I362" s="26"/>
      <c r="J362" s="26"/>
      <c r="K362" s="26"/>
      <c r="L362" s="26"/>
    </row>
    <row r="363" spans="1:12" ht="50.1" customHeight="1" x14ac:dyDescent="0.25">
      <c r="A363" s="10" t="s">
        <v>5</v>
      </c>
      <c r="B363" s="10" t="s">
        <v>6</v>
      </c>
      <c r="C363" s="10" t="s">
        <v>0</v>
      </c>
      <c r="D363" s="10" t="s">
        <v>441</v>
      </c>
      <c r="E363" s="215" t="s">
        <v>234</v>
      </c>
      <c r="F363" s="216" t="s">
        <v>452</v>
      </c>
      <c r="G363" s="217" t="s">
        <v>142</v>
      </c>
      <c r="H363" s="215" t="s">
        <v>444</v>
      </c>
      <c r="I363" s="215" t="s">
        <v>445</v>
      </c>
      <c r="J363" s="215" t="s">
        <v>446</v>
      </c>
      <c r="K363" s="215" t="s">
        <v>447</v>
      </c>
      <c r="L363" s="215" t="s">
        <v>305</v>
      </c>
    </row>
    <row r="364" spans="1:12" ht="15" customHeight="1" x14ac:dyDescent="0.25">
      <c r="A364" s="83" t="s">
        <v>323</v>
      </c>
      <c r="B364" s="213" t="s">
        <v>468</v>
      </c>
      <c r="C364" s="213" t="s">
        <v>469</v>
      </c>
      <c r="D364" s="83">
        <v>305</v>
      </c>
      <c r="E364" s="280">
        <v>490925</v>
      </c>
      <c r="F364" s="280">
        <v>343920</v>
      </c>
      <c r="G364" s="191" t="s">
        <v>140</v>
      </c>
      <c r="H364" s="292">
        <v>147005</v>
      </c>
      <c r="I364" s="292">
        <v>0</v>
      </c>
      <c r="J364" s="292">
        <v>0</v>
      </c>
      <c r="K364" s="292">
        <v>0</v>
      </c>
      <c r="L364" s="292">
        <v>147005</v>
      </c>
    </row>
    <row r="365" spans="1:12" ht="30.75" x14ac:dyDescent="0.25">
      <c r="A365" s="83" t="s">
        <v>323</v>
      </c>
      <c r="B365" s="213" t="s">
        <v>66</v>
      </c>
      <c r="C365" s="213" t="s">
        <v>7</v>
      </c>
      <c r="D365" s="83">
        <v>250</v>
      </c>
      <c r="E365" s="280">
        <v>1349838</v>
      </c>
      <c r="F365" s="280">
        <v>680526</v>
      </c>
      <c r="G365" s="191" t="s">
        <v>140</v>
      </c>
      <c r="H365" s="292">
        <v>669312</v>
      </c>
      <c r="I365" s="292">
        <v>0</v>
      </c>
      <c r="J365" s="292">
        <v>0</v>
      </c>
      <c r="K365" s="292">
        <v>0</v>
      </c>
      <c r="L365" s="292">
        <v>669312</v>
      </c>
    </row>
    <row r="366" spans="1:12" ht="30.75" x14ac:dyDescent="0.25">
      <c r="A366" s="83" t="s">
        <v>323</v>
      </c>
      <c r="B366" s="213" t="s">
        <v>495</v>
      </c>
      <c r="C366" s="213" t="s">
        <v>490</v>
      </c>
      <c r="D366" s="83">
        <v>348</v>
      </c>
      <c r="E366" s="280">
        <v>1482185</v>
      </c>
      <c r="F366" s="280">
        <v>1046875</v>
      </c>
      <c r="G366" s="191" t="s">
        <v>140</v>
      </c>
      <c r="H366" s="292">
        <v>435310</v>
      </c>
      <c r="I366" s="292">
        <v>0</v>
      </c>
      <c r="J366" s="292">
        <v>0</v>
      </c>
      <c r="K366" s="292">
        <v>0</v>
      </c>
      <c r="L366" s="292">
        <v>435310</v>
      </c>
    </row>
    <row r="367" spans="1:12" ht="15.75" customHeight="1" x14ac:dyDescent="0.25">
      <c r="A367" s="83" t="s">
        <v>323</v>
      </c>
      <c r="B367" s="213" t="s">
        <v>482</v>
      </c>
      <c r="C367" s="213" t="s">
        <v>335</v>
      </c>
      <c r="D367" s="83">
        <v>354</v>
      </c>
      <c r="E367" s="280">
        <v>119930</v>
      </c>
      <c r="F367" s="280">
        <v>91042</v>
      </c>
      <c r="G367" s="191" t="s">
        <v>140</v>
      </c>
      <c r="H367" s="292">
        <v>28888</v>
      </c>
      <c r="I367" s="292">
        <v>0</v>
      </c>
      <c r="J367" s="292">
        <v>0</v>
      </c>
      <c r="K367" s="292">
        <v>0</v>
      </c>
      <c r="L367" s="292">
        <v>28888</v>
      </c>
    </row>
    <row r="368" spans="1:12" ht="30.75" x14ac:dyDescent="0.25">
      <c r="A368" s="83" t="s">
        <v>323</v>
      </c>
      <c r="B368" s="213" t="s">
        <v>483</v>
      </c>
      <c r="C368" s="213" t="s">
        <v>484</v>
      </c>
      <c r="D368" s="83">
        <v>286</v>
      </c>
      <c r="E368" s="280">
        <v>45817</v>
      </c>
      <c r="F368" s="280">
        <v>39849</v>
      </c>
      <c r="G368" s="191" t="s">
        <v>140</v>
      </c>
      <c r="H368" s="292">
        <v>5968</v>
      </c>
      <c r="I368" s="292">
        <v>0</v>
      </c>
      <c r="J368" s="292">
        <v>0</v>
      </c>
      <c r="K368" s="292">
        <v>0</v>
      </c>
      <c r="L368" s="292">
        <v>5968</v>
      </c>
    </row>
    <row r="369" spans="1:12" ht="30.75" x14ac:dyDescent="0.25">
      <c r="A369" s="83" t="s">
        <v>323</v>
      </c>
      <c r="B369" s="213" t="s">
        <v>69</v>
      </c>
      <c r="C369" s="213" t="s">
        <v>10</v>
      </c>
      <c r="D369" s="83">
        <v>172</v>
      </c>
      <c r="E369" s="280">
        <v>434043</v>
      </c>
      <c r="F369" s="280">
        <v>297644</v>
      </c>
      <c r="G369" s="191" t="s">
        <v>140</v>
      </c>
      <c r="H369" s="292">
        <v>136399</v>
      </c>
      <c r="I369" s="292">
        <v>0</v>
      </c>
      <c r="J369" s="292">
        <v>0</v>
      </c>
      <c r="K369" s="292">
        <v>0</v>
      </c>
      <c r="L369" s="292">
        <v>136399</v>
      </c>
    </row>
    <row r="370" spans="1:12" x14ac:dyDescent="0.25">
      <c r="A370" s="83" t="s">
        <v>323</v>
      </c>
      <c r="B370" s="213" t="s">
        <v>464</v>
      </c>
      <c r="C370" s="213" t="s">
        <v>465</v>
      </c>
      <c r="D370" s="83">
        <v>278</v>
      </c>
      <c r="E370" s="280">
        <v>1612674</v>
      </c>
      <c r="F370" s="280">
        <v>1156102</v>
      </c>
      <c r="G370" s="191" t="s">
        <v>140</v>
      </c>
      <c r="H370" s="292">
        <v>456572</v>
      </c>
      <c r="I370" s="292">
        <v>0</v>
      </c>
      <c r="J370" s="292">
        <v>0</v>
      </c>
      <c r="K370" s="292">
        <v>0</v>
      </c>
      <c r="L370" s="292">
        <v>456572</v>
      </c>
    </row>
    <row r="371" spans="1:12" x14ac:dyDescent="0.25">
      <c r="A371" s="83" t="s">
        <v>323</v>
      </c>
      <c r="B371" s="213" t="s">
        <v>470</v>
      </c>
      <c r="C371" s="213" t="s">
        <v>471</v>
      </c>
      <c r="D371" s="83">
        <v>309</v>
      </c>
      <c r="E371" s="280">
        <v>17554</v>
      </c>
      <c r="F371" s="280">
        <v>13333</v>
      </c>
      <c r="G371" s="191" t="s">
        <v>140</v>
      </c>
      <c r="H371" s="292">
        <v>4221</v>
      </c>
      <c r="I371" s="292">
        <v>0</v>
      </c>
      <c r="J371" s="292">
        <v>0</v>
      </c>
      <c r="K371" s="292">
        <v>0</v>
      </c>
      <c r="L371" s="292">
        <v>4221</v>
      </c>
    </row>
    <row r="372" spans="1:12" ht="30.75" x14ac:dyDescent="0.25">
      <c r="A372" s="83" t="s">
        <v>323</v>
      </c>
      <c r="B372" s="213" t="s">
        <v>72</v>
      </c>
      <c r="C372" s="213" t="s">
        <v>13</v>
      </c>
      <c r="D372" s="83">
        <v>11</v>
      </c>
      <c r="E372" s="280">
        <v>16878462</v>
      </c>
      <c r="F372" s="280">
        <v>12873998</v>
      </c>
      <c r="G372" s="191" t="s">
        <v>140</v>
      </c>
      <c r="H372" s="292">
        <v>4004464</v>
      </c>
      <c r="I372" s="292">
        <v>0</v>
      </c>
      <c r="J372" s="292">
        <v>0</v>
      </c>
      <c r="K372" s="292">
        <v>0</v>
      </c>
      <c r="L372" s="292">
        <v>4004464</v>
      </c>
    </row>
    <row r="373" spans="1:12" ht="15.75" customHeight="1" x14ac:dyDescent="0.25">
      <c r="A373" s="83" t="s">
        <v>323</v>
      </c>
      <c r="B373" s="213" t="s">
        <v>73</v>
      </c>
      <c r="C373" s="213" t="s">
        <v>14</v>
      </c>
      <c r="D373" s="83">
        <v>313</v>
      </c>
      <c r="E373" s="280">
        <v>3332841</v>
      </c>
      <c r="F373" s="280">
        <v>2665902</v>
      </c>
      <c r="G373" s="191" t="s">
        <v>140</v>
      </c>
      <c r="H373" s="292">
        <v>666939</v>
      </c>
      <c r="I373" s="292">
        <v>0</v>
      </c>
      <c r="J373" s="292">
        <v>0</v>
      </c>
      <c r="K373" s="292">
        <v>0</v>
      </c>
      <c r="L373" s="292">
        <v>666939</v>
      </c>
    </row>
    <row r="374" spans="1:12" ht="45.75" x14ac:dyDescent="0.25">
      <c r="A374" s="83" t="s">
        <v>323</v>
      </c>
      <c r="B374" s="213" t="s">
        <v>67</v>
      </c>
      <c r="C374" s="213" t="s">
        <v>8</v>
      </c>
      <c r="D374" s="83">
        <v>272</v>
      </c>
      <c r="E374" s="280">
        <v>5744477</v>
      </c>
      <c r="F374" s="280">
        <v>4834791</v>
      </c>
      <c r="G374" s="191" t="s">
        <v>140</v>
      </c>
      <c r="H374" s="292">
        <v>909686</v>
      </c>
      <c r="I374" s="292">
        <v>0</v>
      </c>
      <c r="J374" s="292">
        <v>0</v>
      </c>
      <c r="K374" s="292">
        <v>0</v>
      </c>
      <c r="L374" s="292">
        <v>909686</v>
      </c>
    </row>
    <row r="375" spans="1:12" ht="45.75" x14ac:dyDescent="0.25">
      <c r="A375" s="83" t="s">
        <v>323</v>
      </c>
      <c r="B375" s="213" t="s">
        <v>82</v>
      </c>
      <c r="C375" s="213" t="s">
        <v>23</v>
      </c>
      <c r="D375" s="83">
        <v>276</v>
      </c>
      <c r="E375" s="280">
        <v>729070</v>
      </c>
      <c r="F375" s="280">
        <v>500095</v>
      </c>
      <c r="G375" s="191" t="s">
        <v>140</v>
      </c>
      <c r="H375" s="292">
        <v>228975</v>
      </c>
      <c r="I375" s="292">
        <v>0</v>
      </c>
      <c r="J375" s="292">
        <v>0</v>
      </c>
      <c r="K375" s="292">
        <v>0</v>
      </c>
      <c r="L375" s="292">
        <v>228975</v>
      </c>
    </row>
    <row r="376" spans="1:12" ht="75.75" x14ac:dyDescent="0.25">
      <c r="A376" s="83" t="s">
        <v>323</v>
      </c>
      <c r="B376" s="213" t="s">
        <v>448</v>
      </c>
      <c r="C376" s="213" t="s">
        <v>449</v>
      </c>
      <c r="D376" s="83">
        <v>292</v>
      </c>
      <c r="E376" s="280">
        <v>6496022</v>
      </c>
      <c r="F376" s="280">
        <v>4834944</v>
      </c>
      <c r="G376" s="191" t="s">
        <v>140</v>
      </c>
      <c r="H376" s="292">
        <v>1661078</v>
      </c>
      <c r="I376" s="292">
        <v>0</v>
      </c>
      <c r="J376" s="292">
        <v>0</v>
      </c>
      <c r="K376" s="292">
        <v>0</v>
      </c>
      <c r="L376" s="292">
        <v>1661078</v>
      </c>
    </row>
    <row r="377" spans="1:12" ht="30.75" x14ac:dyDescent="0.25">
      <c r="A377" s="83" t="s">
        <v>323</v>
      </c>
      <c r="B377" s="213" t="s">
        <v>71</v>
      </c>
      <c r="C377" s="213" t="s">
        <v>12</v>
      </c>
      <c r="D377" s="83">
        <v>209</v>
      </c>
      <c r="E377" s="280">
        <v>268885</v>
      </c>
      <c r="F377" s="280">
        <v>31975</v>
      </c>
      <c r="G377" s="191" t="s">
        <v>140</v>
      </c>
      <c r="H377" s="292">
        <v>236910</v>
      </c>
      <c r="I377" s="292">
        <v>0</v>
      </c>
      <c r="J377" s="292">
        <v>0</v>
      </c>
      <c r="K377" s="292">
        <v>0</v>
      </c>
      <c r="L377" s="292">
        <v>236910</v>
      </c>
    </row>
    <row r="378" spans="1:12" x14ac:dyDescent="0.25">
      <c r="A378" s="83" t="s">
        <v>323</v>
      </c>
      <c r="B378" s="213" t="s">
        <v>74</v>
      </c>
      <c r="C378" s="213" t="s">
        <v>15</v>
      </c>
      <c r="D378" s="83">
        <v>183</v>
      </c>
      <c r="E378" s="280">
        <v>402570</v>
      </c>
      <c r="F378" s="280">
        <v>289308</v>
      </c>
      <c r="G378" s="191" t="s">
        <v>140</v>
      </c>
      <c r="H378" s="292">
        <v>113262</v>
      </c>
      <c r="I378" s="292">
        <v>0</v>
      </c>
      <c r="J378" s="292">
        <v>0</v>
      </c>
      <c r="K378" s="292">
        <v>0</v>
      </c>
      <c r="L378" s="292">
        <v>113262</v>
      </c>
    </row>
    <row r="379" spans="1:12" x14ac:dyDescent="0.25">
      <c r="A379" s="83" t="s">
        <v>323</v>
      </c>
      <c r="B379" s="213" t="s">
        <v>455</v>
      </c>
      <c r="C379" s="213" t="s">
        <v>456</v>
      </c>
      <c r="D379" s="83">
        <v>251</v>
      </c>
      <c r="E379" s="280">
        <v>499410</v>
      </c>
      <c r="F379" s="280">
        <v>262998</v>
      </c>
      <c r="G379" s="191" t="s">
        <v>140</v>
      </c>
      <c r="H379" s="292">
        <v>236412</v>
      </c>
      <c r="I379" s="292">
        <v>0</v>
      </c>
      <c r="J379" s="292">
        <v>0</v>
      </c>
      <c r="K379" s="292">
        <v>0</v>
      </c>
      <c r="L379" s="292">
        <v>236412</v>
      </c>
    </row>
    <row r="380" spans="1:12" ht="30.75" x14ac:dyDescent="0.25">
      <c r="A380" s="83" t="s">
        <v>323</v>
      </c>
      <c r="B380" s="213" t="s">
        <v>472</v>
      </c>
      <c r="C380" s="213" t="s">
        <v>11</v>
      </c>
      <c r="D380" s="83">
        <v>91</v>
      </c>
      <c r="E380" s="280">
        <v>14415</v>
      </c>
      <c r="F380" s="280">
        <v>12228</v>
      </c>
      <c r="G380" s="191" t="s">
        <v>140</v>
      </c>
      <c r="H380" s="292">
        <v>2187</v>
      </c>
      <c r="I380" s="292">
        <v>0</v>
      </c>
      <c r="J380" s="292">
        <v>0</v>
      </c>
      <c r="K380" s="292">
        <v>0</v>
      </c>
      <c r="L380" s="292">
        <v>2187</v>
      </c>
    </row>
    <row r="381" spans="1:12" x14ac:dyDescent="0.25">
      <c r="A381" s="83" t="s">
        <v>323</v>
      </c>
      <c r="B381" s="213" t="s">
        <v>75</v>
      </c>
      <c r="C381" s="213" t="s">
        <v>16</v>
      </c>
      <c r="D381" s="83">
        <v>192</v>
      </c>
      <c r="E381" s="280">
        <v>253379</v>
      </c>
      <c r="F381" s="280">
        <v>167612</v>
      </c>
      <c r="G381" s="191" t="s">
        <v>140</v>
      </c>
      <c r="H381" s="292">
        <v>85767</v>
      </c>
      <c r="I381" s="292">
        <v>0</v>
      </c>
      <c r="J381" s="292">
        <v>0</v>
      </c>
      <c r="K381" s="292">
        <v>0</v>
      </c>
      <c r="L381" s="292">
        <v>85767</v>
      </c>
    </row>
    <row r="382" spans="1:12" ht="15" customHeight="1" x14ac:dyDescent="0.25">
      <c r="A382" s="83" t="s">
        <v>323</v>
      </c>
      <c r="B382" s="213" t="s">
        <v>76</v>
      </c>
      <c r="C382" s="213" t="s">
        <v>17</v>
      </c>
      <c r="D382" s="83">
        <v>297</v>
      </c>
      <c r="E382" s="280">
        <v>214220449</v>
      </c>
      <c r="F382" s="280">
        <v>137436831</v>
      </c>
      <c r="G382" s="191" t="s">
        <v>140</v>
      </c>
      <c r="H382" s="292">
        <v>76783618</v>
      </c>
      <c r="I382" s="292">
        <v>0</v>
      </c>
      <c r="J382" s="292">
        <v>0</v>
      </c>
      <c r="K382" s="292">
        <v>0</v>
      </c>
      <c r="L382" s="292">
        <v>76783618</v>
      </c>
    </row>
    <row r="383" spans="1:12" x14ac:dyDescent="0.25">
      <c r="A383" s="83" t="s">
        <v>323</v>
      </c>
      <c r="B383" s="213" t="s">
        <v>77</v>
      </c>
      <c r="C383" s="213" t="s">
        <v>18</v>
      </c>
      <c r="D383" s="83">
        <v>166</v>
      </c>
      <c r="E383" s="280">
        <v>6624079</v>
      </c>
      <c r="F383" s="280">
        <v>4973496</v>
      </c>
      <c r="G383" s="191" t="s">
        <v>140</v>
      </c>
      <c r="H383" s="292">
        <v>1650583</v>
      </c>
      <c r="I383" s="292">
        <v>0</v>
      </c>
      <c r="J383" s="292">
        <v>0</v>
      </c>
      <c r="K383" s="292">
        <v>0</v>
      </c>
      <c r="L383" s="292">
        <v>1650583</v>
      </c>
    </row>
    <row r="384" spans="1:12" x14ac:dyDescent="0.25">
      <c r="A384" s="83" t="s">
        <v>323</v>
      </c>
      <c r="B384" s="213" t="s">
        <v>473</v>
      </c>
      <c r="C384" s="213" t="s">
        <v>474</v>
      </c>
      <c r="D384" s="83">
        <v>268</v>
      </c>
      <c r="E384" s="280">
        <v>6270779</v>
      </c>
      <c r="F384" s="280">
        <v>3349640</v>
      </c>
      <c r="G384" s="191" t="s">
        <v>140</v>
      </c>
      <c r="H384" s="292">
        <v>2921139</v>
      </c>
      <c r="I384" s="292">
        <v>0</v>
      </c>
      <c r="J384" s="292">
        <v>0</v>
      </c>
      <c r="K384" s="292">
        <v>0</v>
      </c>
      <c r="L384" s="292">
        <v>2921139</v>
      </c>
    </row>
    <row r="385" spans="1:12" x14ac:dyDescent="0.25">
      <c r="A385" s="83" t="s">
        <v>323</v>
      </c>
      <c r="B385" s="213" t="s">
        <v>80</v>
      </c>
      <c r="C385" s="213" t="s">
        <v>21</v>
      </c>
      <c r="D385" s="83">
        <v>32</v>
      </c>
      <c r="E385" s="280">
        <v>4554154</v>
      </c>
      <c r="F385" s="280">
        <v>4089648</v>
      </c>
      <c r="G385" s="191" t="s">
        <v>140</v>
      </c>
      <c r="H385" s="292">
        <v>464506</v>
      </c>
      <c r="I385" s="292">
        <v>0</v>
      </c>
      <c r="J385" s="292">
        <v>0</v>
      </c>
      <c r="K385" s="292">
        <v>0</v>
      </c>
      <c r="L385" s="292">
        <v>464506</v>
      </c>
    </row>
    <row r="386" spans="1:12" x14ac:dyDescent="0.25">
      <c r="A386" s="83" t="s">
        <v>323</v>
      </c>
      <c r="B386" s="213" t="s">
        <v>491</v>
      </c>
      <c r="C386" s="213" t="s">
        <v>19</v>
      </c>
      <c r="D386" s="83">
        <v>230</v>
      </c>
      <c r="E386" s="280">
        <v>5672021</v>
      </c>
      <c r="F386" s="280">
        <v>5265644</v>
      </c>
      <c r="G386" s="191" t="s">
        <v>140</v>
      </c>
      <c r="H386" s="292">
        <v>406377</v>
      </c>
      <c r="I386" s="292">
        <v>0</v>
      </c>
      <c r="J386" s="292">
        <v>0</v>
      </c>
      <c r="K386" s="292">
        <v>0</v>
      </c>
      <c r="L386" s="292">
        <v>406377</v>
      </c>
    </row>
    <row r="387" spans="1:12" x14ac:dyDescent="0.25">
      <c r="A387" s="83" t="s">
        <v>323</v>
      </c>
      <c r="B387" s="213" t="s">
        <v>79</v>
      </c>
      <c r="C387" s="213" t="s">
        <v>20</v>
      </c>
      <c r="D387" s="83">
        <v>357</v>
      </c>
      <c r="E387" s="280">
        <v>7104473</v>
      </c>
      <c r="F387" s="280">
        <v>5397077</v>
      </c>
      <c r="G387" s="191" t="s">
        <v>140</v>
      </c>
      <c r="H387" s="292">
        <v>1707396</v>
      </c>
      <c r="I387" s="292">
        <v>0</v>
      </c>
      <c r="J387" s="292">
        <v>0</v>
      </c>
      <c r="K387" s="292">
        <v>0</v>
      </c>
      <c r="L387" s="292">
        <v>1707396</v>
      </c>
    </row>
    <row r="388" spans="1:12" x14ac:dyDescent="0.25">
      <c r="A388" s="83" t="s">
        <v>323</v>
      </c>
      <c r="B388" s="213" t="s">
        <v>475</v>
      </c>
      <c r="C388" s="213" t="s">
        <v>476</v>
      </c>
      <c r="D388" s="83">
        <v>148</v>
      </c>
      <c r="E388" s="280">
        <v>218554</v>
      </c>
      <c r="F388" s="280">
        <v>3127</v>
      </c>
      <c r="G388" s="191" t="s">
        <v>140</v>
      </c>
      <c r="H388" s="292">
        <v>215427</v>
      </c>
      <c r="I388" s="292">
        <v>0</v>
      </c>
      <c r="J388" s="292">
        <v>0</v>
      </c>
      <c r="K388" s="292">
        <v>0</v>
      </c>
      <c r="L388" s="292">
        <v>215427</v>
      </c>
    </row>
    <row r="389" spans="1:12" ht="15.75" customHeight="1" x14ac:dyDescent="0.25">
      <c r="A389" s="83" t="s">
        <v>323</v>
      </c>
      <c r="B389" s="213" t="s">
        <v>81</v>
      </c>
      <c r="C389" s="213" t="s">
        <v>22</v>
      </c>
      <c r="D389" s="83">
        <v>153</v>
      </c>
      <c r="E389" s="280">
        <v>3685492</v>
      </c>
      <c r="F389" s="280">
        <v>3016024</v>
      </c>
      <c r="G389" s="191" t="s">
        <v>140</v>
      </c>
      <c r="H389" s="292">
        <v>669468</v>
      </c>
      <c r="I389" s="292">
        <v>0</v>
      </c>
      <c r="J389" s="292">
        <v>0</v>
      </c>
      <c r="K389" s="292">
        <v>0</v>
      </c>
      <c r="L389" s="292">
        <v>669468</v>
      </c>
    </row>
    <row r="390" spans="1:12" x14ac:dyDescent="0.25">
      <c r="A390" s="83" t="s">
        <v>323</v>
      </c>
      <c r="B390" s="213" t="s">
        <v>457</v>
      </c>
      <c r="C390" s="213" t="s">
        <v>458</v>
      </c>
      <c r="D390" s="83">
        <v>155</v>
      </c>
      <c r="E390" s="280">
        <v>845595</v>
      </c>
      <c r="F390" s="280">
        <v>217384</v>
      </c>
      <c r="G390" s="191" t="s">
        <v>140</v>
      </c>
      <c r="H390" s="292">
        <v>628211</v>
      </c>
      <c r="I390" s="292">
        <v>0</v>
      </c>
      <c r="J390" s="292">
        <v>0</v>
      </c>
      <c r="K390" s="292">
        <v>0</v>
      </c>
      <c r="L390" s="292">
        <v>628211</v>
      </c>
    </row>
    <row r="391" spans="1:12" x14ac:dyDescent="0.25">
      <c r="A391" s="83" t="s">
        <v>323</v>
      </c>
      <c r="B391" s="213" t="s">
        <v>492</v>
      </c>
      <c r="C391" s="213" t="s">
        <v>339</v>
      </c>
      <c r="D391" s="83">
        <v>319</v>
      </c>
      <c r="E391" s="280">
        <v>16330912</v>
      </c>
      <c r="F391" s="280">
        <v>12354318</v>
      </c>
      <c r="G391" s="191" t="s">
        <v>140</v>
      </c>
      <c r="H391" s="292">
        <v>3976594</v>
      </c>
      <c r="I391" s="292">
        <v>0</v>
      </c>
      <c r="J391" s="292">
        <v>0</v>
      </c>
      <c r="K391" s="292">
        <v>0</v>
      </c>
      <c r="L391" s="292">
        <v>3976594</v>
      </c>
    </row>
    <row r="392" spans="1:12" x14ac:dyDescent="0.25">
      <c r="A392" s="83" t="s">
        <v>323</v>
      </c>
      <c r="B392" s="213" t="s">
        <v>83</v>
      </c>
      <c r="C392" s="213" t="s">
        <v>17</v>
      </c>
      <c r="D392" s="83">
        <v>48</v>
      </c>
      <c r="E392" s="280">
        <v>25184516</v>
      </c>
      <c r="F392" s="280">
        <v>21266482</v>
      </c>
      <c r="G392" s="191" t="s">
        <v>140</v>
      </c>
      <c r="H392" s="292">
        <v>3918034</v>
      </c>
      <c r="I392" s="292">
        <v>0</v>
      </c>
      <c r="J392" s="292">
        <v>0</v>
      </c>
      <c r="K392" s="292">
        <v>0</v>
      </c>
      <c r="L392" s="292">
        <v>3918034</v>
      </c>
    </row>
    <row r="393" spans="1:12" x14ac:dyDescent="0.25">
      <c r="A393" s="83" t="s">
        <v>323</v>
      </c>
      <c r="B393" s="213" t="s">
        <v>326</v>
      </c>
      <c r="C393" s="213" t="s">
        <v>327</v>
      </c>
      <c r="D393" s="83">
        <v>218</v>
      </c>
      <c r="E393" s="280">
        <v>3246822</v>
      </c>
      <c r="F393" s="280">
        <v>2176378</v>
      </c>
      <c r="G393" s="191" t="s">
        <v>140</v>
      </c>
      <c r="H393" s="292">
        <v>1070444</v>
      </c>
      <c r="I393" s="292">
        <v>0</v>
      </c>
      <c r="J393" s="292">
        <v>0</v>
      </c>
      <c r="K393" s="292">
        <v>0</v>
      </c>
      <c r="L393" s="292">
        <v>1070444</v>
      </c>
    </row>
    <row r="394" spans="1:12" x14ac:dyDescent="0.25">
      <c r="A394" s="83" t="s">
        <v>323</v>
      </c>
      <c r="B394" s="213" t="s">
        <v>84</v>
      </c>
      <c r="C394" s="213" t="s">
        <v>24</v>
      </c>
      <c r="D394" s="83">
        <v>350</v>
      </c>
      <c r="E394" s="280">
        <v>51357</v>
      </c>
      <c r="F394" s="280">
        <v>40229</v>
      </c>
      <c r="G394" s="191" t="s">
        <v>140</v>
      </c>
      <c r="H394" s="292">
        <v>11128</v>
      </c>
      <c r="I394" s="292">
        <v>0</v>
      </c>
      <c r="J394" s="292">
        <v>0</v>
      </c>
      <c r="K394" s="292">
        <v>0</v>
      </c>
      <c r="L394" s="292">
        <v>11128</v>
      </c>
    </row>
    <row r="395" spans="1:12" x14ac:dyDescent="0.25">
      <c r="A395" s="83" t="s">
        <v>323</v>
      </c>
      <c r="B395" s="213" t="s">
        <v>459</v>
      </c>
      <c r="C395" s="213" t="s">
        <v>460</v>
      </c>
      <c r="D395" s="83">
        <v>173</v>
      </c>
      <c r="E395" s="280">
        <v>1475090</v>
      </c>
      <c r="F395" s="280">
        <v>1254514</v>
      </c>
      <c r="G395" s="191" t="s">
        <v>140</v>
      </c>
      <c r="H395" s="292">
        <v>220576</v>
      </c>
      <c r="I395" s="292">
        <v>0</v>
      </c>
      <c r="J395" s="292">
        <v>0</v>
      </c>
      <c r="K395" s="292">
        <v>0</v>
      </c>
      <c r="L395" s="292">
        <v>220576</v>
      </c>
    </row>
    <row r="396" spans="1:12" x14ac:dyDescent="0.25">
      <c r="A396" s="83" t="s">
        <v>323</v>
      </c>
      <c r="B396" s="213" t="s">
        <v>496</v>
      </c>
      <c r="C396" s="213" t="s">
        <v>497</v>
      </c>
      <c r="D396" s="83">
        <v>304</v>
      </c>
      <c r="E396" s="280">
        <v>159665</v>
      </c>
      <c r="F396" s="280">
        <v>26698</v>
      </c>
      <c r="G396" s="191" t="s">
        <v>140</v>
      </c>
      <c r="H396" s="292">
        <v>132967</v>
      </c>
      <c r="I396" s="292">
        <v>0</v>
      </c>
      <c r="J396" s="292">
        <v>0</v>
      </c>
      <c r="K396" s="292">
        <v>0</v>
      </c>
      <c r="L396" s="292">
        <v>132967</v>
      </c>
    </row>
    <row r="397" spans="1:12" x14ac:dyDescent="0.25">
      <c r="A397" s="83" t="s">
        <v>323</v>
      </c>
      <c r="B397" s="213" t="s">
        <v>493</v>
      </c>
      <c r="C397" s="213" t="s">
        <v>494</v>
      </c>
      <c r="D397" s="83">
        <v>335</v>
      </c>
      <c r="E397" s="280">
        <v>30695</v>
      </c>
      <c r="F397" s="280">
        <v>27192</v>
      </c>
      <c r="G397" s="191" t="s">
        <v>140</v>
      </c>
      <c r="H397" s="292">
        <v>3503</v>
      </c>
      <c r="I397" s="292">
        <v>0</v>
      </c>
      <c r="J397" s="292">
        <v>0</v>
      </c>
      <c r="K397" s="292">
        <v>0</v>
      </c>
      <c r="L397" s="292">
        <v>3503</v>
      </c>
    </row>
    <row r="398" spans="1:12" ht="15" customHeight="1" x14ac:dyDescent="0.25">
      <c r="A398" s="83" t="s">
        <v>323</v>
      </c>
      <c r="B398" s="213" t="s">
        <v>498</v>
      </c>
      <c r="C398" s="213" t="s">
        <v>499</v>
      </c>
      <c r="D398" s="83">
        <v>329</v>
      </c>
      <c r="E398" s="280">
        <v>1358026</v>
      </c>
      <c r="F398" s="280">
        <v>1019340</v>
      </c>
      <c r="G398" s="191" t="s">
        <v>140</v>
      </c>
      <c r="H398" s="292">
        <v>338686</v>
      </c>
      <c r="I398" s="292">
        <v>0</v>
      </c>
      <c r="J398" s="292">
        <v>0</v>
      </c>
      <c r="K398" s="292">
        <v>0</v>
      </c>
      <c r="L398" s="292">
        <v>338686</v>
      </c>
    </row>
    <row r="399" spans="1:12" ht="15" customHeight="1" x14ac:dyDescent="0.25">
      <c r="A399" s="83" t="s">
        <v>323</v>
      </c>
      <c r="B399" s="213" t="s">
        <v>466</v>
      </c>
      <c r="C399" s="213" t="s">
        <v>467</v>
      </c>
      <c r="D399" s="83">
        <v>261</v>
      </c>
      <c r="E399" s="280">
        <v>905756</v>
      </c>
      <c r="F399" s="280">
        <v>827559</v>
      </c>
      <c r="G399" s="191" t="s">
        <v>140</v>
      </c>
      <c r="H399" s="292">
        <v>78197</v>
      </c>
      <c r="I399" s="292">
        <v>0</v>
      </c>
      <c r="J399" s="292">
        <v>0</v>
      </c>
      <c r="K399" s="292">
        <v>0</v>
      </c>
      <c r="L399" s="292">
        <v>78197</v>
      </c>
    </row>
    <row r="400" spans="1:12" ht="15" customHeight="1" x14ac:dyDescent="0.25">
      <c r="A400" s="83" t="s">
        <v>323</v>
      </c>
      <c r="B400" s="213" t="s">
        <v>461</v>
      </c>
      <c r="C400" s="213" t="s">
        <v>25</v>
      </c>
      <c r="D400" s="83">
        <v>244</v>
      </c>
      <c r="E400" s="280">
        <v>1880327</v>
      </c>
      <c r="F400" s="280">
        <v>1751540</v>
      </c>
      <c r="G400" s="191" t="s">
        <v>140</v>
      </c>
      <c r="H400" s="292">
        <v>128787</v>
      </c>
      <c r="I400" s="292">
        <v>0</v>
      </c>
      <c r="J400" s="292">
        <v>0</v>
      </c>
      <c r="K400" s="292">
        <v>0</v>
      </c>
      <c r="L400" s="292">
        <v>128787</v>
      </c>
    </row>
    <row r="401" spans="1:12" x14ac:dyDescent="0.25">
      <c r="A401" s="83" t="s">
        <v>323</v>
      </c>
      <c r="B401" s="213" t="s">
        <v>477</v>
      </c>
      <c r="C401" s="213" t="s">
        <v>17</v>
      </c>
      <c r="D401" s="83">
        <v>280</v>
      </c>
      <c r="E401" s="280">
        <v>88241</v>
      </c>
      <c r="F401" s="280">
        <v>32642</v>
      </c>
      <c r="G401" s="191" t="s">
        <v>140</v>
      </c>
      <c r="H401" s="292">
        <v>55599</v>
      </c>
      <c r="I401" s="292">
        <v>0</v>
      </c>
      <c r="J401" s="292">
        <v>0</v>
      </c>
      <c r="K401" s="292">
        <v>0</v>
      </c>
      <c r="L401" s="292">
        <v>55599</v>
      </c>
    </row>
    <row r="402" spans="1:12" ht="30.75" x14ac:dyDescent="0.25">
      <c r="A402" s="83" t="s">
        <v>323</v>
      </c>
      <c r="B402" s="213" t="s">
        <v>500</v>
      </c>
      <c r="C402" s="213" t="s">
        <v>11</v>
      </c>
      <c r="D402" s="83">
        <v>176</v>
      </c>
      <c r="E402" s="280">
        <v>3640971</v>
      </c>
      <c r="F402" s="280">
        <v>2824667</v>
      </c>
      <c r="G402" s="191" t="s">
        <v>140</v>
      </c>
      <c r="H402" s="292">
        <v>816304</v>
      </c>
      <c r="I402" s="292">
        <v>0</v>
      </c>
      <c r="J402" s="292">
        <v>0</v>
      </c>
      <c r="K402" s="292">
        <v>0</v>
      </c>
      <c r="L402" s="292">
        <v>816304</v>
      </c>
    </row>
    <row r="403" spans="1:12" x14ac:dyDescent="0.25">
      <c r="A403" s="83" t="s">
        <v>323</v>
      </c>
      <c r="B403" s="213" t="s">
        <v>85</v>
      </c>
      <c r="C403" s="213" t="s">
        <v>26</v>
      </c>
      <c r="D403" s="83">
        <v>171</v>
      </c>
      <c r="E403" s="280">
        <v>2298151</v>
      </c>
      <c r="F403" s="280">
        <v>1836916</v>
      </c>
      <c r="G403" s="191" t="s">
        <v>140</v>
      </c>
      <c r="H403" s="292">
        <v>461235</v>
      </c>
      <c r="I403" s="292">
        <v>0</v>
      </c>
      <c r="J403" s="292">
        <v>0</v>
      </c>
      <c r="K403" s="292">
        <v>0</v>
      </c>
      <c r="L403" s="292">
        <v>461235</v>
      </c>
    </row>
    <row r="404" spans="1:12" ht="30.75" x14ac:dyDescent="0.25">
      <c r="A404" s="83" t="s">
        <v>323</v>
      </c>
      <c r="B404" s="213" t="s">
        <v>86</v>
      </c>
      <c r="C404" s="213" t="s">
        <v>25</v>
      </c>
      <c r="D404" s="83">
        <v>258</v>
      </c>
      <c r="E404" s="280">
        <v>2670692</v>
      </c>
      <c r="F404" s="280">
        <v>1665935</v>
      </c>
      <c r="G404" s="191" t="s">
        <v>140</v>
      </c>
      <c r="H404" s="292">
        <v>1004757</v>
      </c>
      <c r="I404" s="292">
        <v>0</v>
      </c>
      <c r="J404" s="292">
        <v>0</v>
      </c>
      <c r="K404" s="292">
        <v>0</v>
      </c>
      <c r="L404" s="292">
        <v>1004757</v>
      </c>
    </row>
    <row r="405" spans="1:12" x14ac:dyDescent="0.25">
      <c r="A405" s="83" t="s">
        <v>323</v>
      </c>
      <c r="B405" s="213" t="s">
        <v>87</v>
      </c>
      <c r="C405" s="213" t="s">
        <v>17</v>
      </c>
      <c r="D405" s="83">
        <v>260</v>
      </c>
      <c r="E405" s="280">
        <v>16526442</v>
      </c>
      <c r="F405" s="280">
        <v>13454196</v>
      </c>
      <c r="G405" s="191" t="s">
        <v>140</v>
      </c>
      <c r="H405" s="292">
        <v>3072246</v>
      </c>
      <c r="I405" s="292">
        <v>0</v>
      </c>
      <c r="J405" s="292">
        <v>0</v>
      </c>
      <c r="K405" s="292">
        <v>0</v>
      </c>
      <c r="L405" s="292">
        <v>3072246</v>
      </c>
    </row>
    <row r="406" spans="1:12" x14ac:dyDescent="0.25">
      <c r="A406" s="83" t="s">
        <v>323</v>
      </c>
      <c r="B406" s="213" t="s">
        <v>462</v>
      </c>
      <c r="C406" s="213" t="s">
        <v>463</v>
      </c>
      <c r="D406" s="83">
        <v>346</v>
      </c>
      <c r="E406" s="280">
        <v>28428</v>
      </c>
      <c r="F406" s="280">
        <v>12805</v>
      </c>
      <c r="G406" s="191" t="s">
        <v>140</v>
      </c>
      <c r="H406" s="292">
        <v>15623</v>
      </c>
      <c r="I406" s="292">
        <v>0</v>
      </c>
      <c r="J406" s="292">
        <v>0</v>
      </c>
      <c r="K406" s="292">
        <v>0</v>
      </c>
      <c r="L406" s="292">
        <v>15623</v>
      </c>
    </row>
    <row r="407" spans="1:12" x14ac:dyDescent="0.25">
      <c r="A407" s="83" t="s">
        <v>323</v>
      </c>
      <c r="B407" s="213" t="s">
        <v>89</v>
      </c>
      <c r="C407" s="213" t="s">
        <v>28</v>
      </c>
      <c r="D407" s="83">
        <v>351</v>
      </c>
      <c r="E407" s="280">
        <v>118402</v>
      </c>
      <c r="F407" s="280">
        <v>102022</v>
      </c>
      <c r="G407" s="191" t="s">
        <v>140</v>
      </c>
      <c r="H407" s="292">
        <v>16380</v>
      </c>
      <c r="I407" s="292">
        <v>0</v>
      </c>
      <c r="J407" s="292">
        <v>0</v>
      </c>
      <c r="K407" s="292">
        <v>0</v>
      </c>
      <c r="L407" s="292">
        <v>16380</v>
      </c>
    </row>
    <row r="408" spans="1:12" ht="15.75" customHeight="1" x14ac:dyDescent="0.25">
      <c r="A408" s="202" t="s">
        <v>328</v>
      </c>
      <c r="B408" s="218" t="s">
        <v>140</v>
      </c>
      <c r="C408" s="218" t="s">
        <v>140</v>
      </c>
      <c r="D408" s="218" t="s">
        <v>140</v>
      </c>
      <c r="E408" s="244">
        <f>SUBTOTAL(109,school201112[Program
Costs])</f>
        <v>365362586</v>
      </c>
      <c r="F408" s="244">
        <f>SUBTOTAL(109,school201112[Less: Net Payments and Offsets2])</f>
        <v>254565446</v>
      </c>
      <c r="G408" s="218" t="s">
        <v>140</v>
      </c>
      <c r="H408" s="244">
        <f>SUBTOTAL(109,school201112[Accounts Payable
Balance])</f>
        <v>110797140</v>
      </c>
      <c r="I408" s="244">
        <f>SUBTOTAL(109,school201112[Established
Accounts Receivable])</f>
        <v>0</v>
      </c>
      <c r="J408" s="244">
        <f>SUBTOTAL(109,school201112[Less: Recovered Amount])</f>
        <v>0</v>
      </c>
      <c r="K408" s="244">
        <f>SUBTOTAL(109,school201112[Accounts Receivable
Balance])</f>
        <v>0</v>
      </c>
      <c r="L408" s="244">
        <f>SUBTOTAL(109,school201112[Net
Balance])</f>
        <v>110797140</v>
      </c>
    </row>
    <row r="409" spans="1:12" x14ac:dyDescent="0.25">
      <c r="A409" s="195" t="s">
        <v>141</v>
      </c>
      <c r="B409" s="142"/>
      <c r="C409" s="142"/>
      <c r="D409" s="142"/>
      <c r="E409" s="26"/>
      <c r="F409" s="26"/>
      <c r="G409" s="196"/>
      <c r="H409" s="26"/>
      <c r="I409" s="26"/>
      <c r="J409" s="26"/>
      <c r="K409" s="26"/>
      <c r="L409" s="26"/>
    </row>
    <row r="410" spans="1:12" ht="50.1" customHeight="1" x14ac:dyDescent="0.25">
      <c r="A410" s="10" t="s">
        <v>5</v>
      </c>
      <c r="B410" s="10" t="s">
        <v>6</v>
      </c>
      <c r="C410" s="10" t="s">
        <v>0</v>
      </c>
      <c r="D410" s="10" t="s">
        <v>441</v>
      </c>
      <c r="E410" s="215" t="s">
        <v>234</v>
      </c>
      <c r="F410" s="216" t="s">
        <v>452</v>
      </c>
      <c r="G410" s="217" t="s">
        <v>142</v>
      </c>
      <c r="H410" s="215" t="s">
        <v>444</v>
      </c>
      <c r="I410" s="215" t="s">
        <v>445</v>
      </c>
      <c r="J410" s="215" t="s">
        <v>446</v>
      </c>
      <c r="K410" s="215" t="s">
        <v>447</v>
      </c>
      <c r="L410" s="215" t="s">
        <v>305</v>
      </c>
    </row>
    <row r="411" spans="1:12" ht="15" customHeight="1" x14ac:dyDescent="0.25">
      <c r="A411" s="83" t="s">
        <v>329</v>
      </c>
      <c r="B411" s="213" t="s">
        <v>468</v>
      </c>
      <c r="C411" s="213" t="s">
        <v>469</v>
      </c>
      <c r="D411" s="83">
        <v>305</v>
      </c>
      <c r="E411" s="280">
        <v>404335</v>
      </c>
      <c r="F411" s="280">
        <v>284067</v>
      </c>
      <c r="G411" s="191" t="s">
        <v>140</v>
      </c>
      <c r="H411" s="292">
        <v>120268</v>
      </c>
      <c r="I411" s="292">
        <v>0</v>
      </c>
      <c r="J411" s="292">
        <v>0</v>
      </c>
      <c r="K411" s="292">
        <v>0</v>
      </c>
      <c r="L411" s="292">
        <v>120268</v>
      </c>
    </row>
    <row r="412" spans="1:12" x14ac:dyDescent="0.25">
      <c r="A412" s="83" t="s">
        <v>329</v>
      </c>
      <c r="B412" s="213" t="s">
        <v>501</v>
      </c>
      <c r="C412" s="213" t="s">
        <v>502</v>
      </c>
      <c r="D412" s="83">
        <v>269</v>
      </c>
      <c r="E412" s="280">
        <v>8679</v>
      </c>
      <c r="F412" s="280">
        <v>6144</v>
      </c>
      <c r="G412" s="191" t="s">
        <v>140</v>
      </c>
      <c r="H412" s="292">
        <v>2535</v>
      </c>
      <c r="I412" s="292">
        <v>0</v>
      </c>
      <c r="J412" s="292">
        <v>0</v>
      </c>
      <c r="K412" s="292">
        <v>0</v>
      </c>
      <c r="L412" s="292">
        <v>2535</v>
      </c>
    </row>
    <row r="413" spans="1:12" ht="30.75" x14ac:dyDescent="0.25">
      <c r="A413" s="83" t="s">
        <v>329</v>
      </c>
      <c r="B413" s="213" t="s">
        <v>66</v>
      </c>
      <c r="C413" s="213" t="s">
        <v>7</v>
      </c>
      <c r="D413" s="83">
        <v>250</v>
      </c>
      <c r="E413" s="280">
        <v>1284869</v>
      </c>
      <c r="F413" s="280">
        <v>670698</v>
      </c>
      <c r="G413" s="191" t="s">
        <v>140</v>
      </c>
      <c r="H413" s="292">
        <v>614171</v>
      </c>
      <c r="I413" s="292">
        <v>0</v>
      </c>
      <c r="J413" s="292">
        <v>0</v>
      </c>
      <c r="K413" s="292">
        <v>0</v>
      </c>
      <c r="L413" s="292">
        <v>614171</v>
      </c>
    </row>
    <row r="414" spans="1:12" ht="30.75" customHeight="1" x14ac:dyDescent="0.25">
      <c r="A414" s="83" t="s">
        <v>329</v>
      </c>
      <c r="B414" s="213" t="s">
        <v>495</v>
      </c>
      <c r="C414" s="213" t="s">
        <v>490</v>
      </c>
      <c r="D414" s="83">
        <v>348</v>
      </c>
      <c r="E414" s="280">
        <v>1223752</v>
      </c>
      <c r="F414" s="280">
        <v>860241</v>
      </c>
      <c r="G414" s="191" t="s">
        <v>140</v>
      </c>
      <c r="H414" s="292">
        <v>363511</v>
      </c>
      <c r="I414" s="292">
        <v>0</v>
      </c>
      <c r="J414" s="292">
        <v>0</v>
      </c>
      <c r="K414" s="292">
        <v>0</v>
      </c>
      <c r="L414" s="292">
        <v>363511</v>
      </c>
    </row>
    <row r="415" spans="1:12" x14ac:dyDescent="0.25">
      <c r="A415" s="83" t="s">
        <v>329</v>
      </c>
      <c r="B415" s="213" t="s">
        <v>482</v>
      </c>
      <c r="C415" s="213" t="s">
        <v>335</v>
      </c>
      <c r="D415" s="83">
        <v>354</v>
      </c>
      <c r="E415" s="280">
        <v>86685</v>
      </c>
      <c r="F415" s="280">
        <v>72103</v>
      </c>
      <c r="G415" s="191" t="s">
        <v>140</v>
      </c>
      <c r="H415" s="292">
        <v>14582</v>
      </c>
      <c r="I415" s="292">
        <v>0</v>
      </c>
      <c r="J415" s="292">
        <v>0</v>
      </c>
      <c r="K415" s="292">
        <v>0</v>
      </c>
      <c r="L415" s="292">
        <v>14582</v>
      </c>
    </row>
    <row r="416" spans="1:12" ht="30.75" x14ac:dyDescent="0.25">
      <c r="A416" s="83" t="s">
        <v>329</v>
      </c>
      <c r="B416" s="213" t="s">
        <v>483</v>
      </c>
      <c r="C416" s="213" t="s">
        <v>484</v>
      </c>
      <c r="D416" s="83">
        <v>286</v>
      </c>
      <c r="E416" s="280">
        <v>48564</v>
      </c>
      <c r="F416" s="280">
        <v>38573</v>
      </c>
      <c r="G416" s="191" t="s">
        <v>140</v>
      </c>
      <c r="H416" s="292">
        <v>9991</v>
      </c>
      <c r="I416" s="292">
        <v>0</v>
      </c>
      <c r="J416" s="292">
        <v>0</v>
      </c>
      <c r="K416" s="292">
        <v>0</v>
      </c>
      <c r="L416" s="292">
        <v>9991</v>
      </c>
    </row>
    <row r="417" spans="1:12" ht="30.75" x14ac:dyDescent="0.25">
      <c r="A417" s="83" t="s">
        <v>329</v>
      </c>
      <c r="B417" s="213" t="s">
        <v>69</v>
      </c>
      <c r="C417" s="213" t="s">
        <v>10</v>
      </c>
      <c r="D417" s="83">
        <v>172</v>
      </c>
      <c r="E417" s="280">
        <v>509912</v>
      </c>
      <c r="F417" s="280">
        <v>359546</v>
      </c>
      <c r="G417" s="191" t="s">
        <v>140</v>
      </c>
      <c r="H417" s="292">
        <v>150366</v>
      </c>
      <c r="I417" s="292">
        <v>0</v>
      </c>
      <c r="J417" s="292">
        <v>0</v>
      </c>
      <c r="K417" s="292">
        <v>0</v>
      </c>
      <c r="L417" s="292">
        <v>150366</v>
      </c>
    </row>
    <row r="418" spans="1:12" x14ac:dyDescent="0.25">
      <c r="A418" s="83" t="s">
        <v>329</v>
      </c>
      <c r="B418" s="213" t="s">
        <v>464</v>
      </c>
      <c r="C418" s="213" t="s">
        <v>465</v>
      </c>
      <c r="D418" s="83">
        <v>278</v>
      </c>
      <c r="E418" s="280">
        <v>1935990</v>
      </c>
      <c r="F418" s="280">
        <v>1331459</v>
      </c>
      <c r="G418" s="191" t="s">
        <v>140</v>
      </c>
      <c r="H418" s="292">
        <v>604531</v>
      </c>
      <c r="I418" s="292">
        <v>0</v>
      </c>
      <c r="J418" s="292">
        <v>0</v>
      </c>
      <c r="K418" s="292">
        <v>0</v>
      </c>
      <c r="L418" s="292">
        <v>604531</v>
      </c>
    </row>
    <row r="419" spans="1:12" x14ac:dyDescent="0.25">
      <c r="A419" s="83" t="s">
        <v>329</v>
      </c>
      <c r="B419" s="213" t="s">
        <v>470</v>
      </c>
      <c r="C419" s="213" t="s">
        <v>471</v>
      </c>
      <c r="D419" s="83">
        <v>309</v>
      </c>
      <c r="E419" s="280">
        <v>13640</v>
      </c>
      <c r="F419" s="280">
        <v>7429</v>
      </c>
      <c r="G419" s="191" t="s">
        <v>140</v>
      </c>
      <c r="H419" s="292">
        <v>6211</v>
      </c>
      <c r="I419" s="292">
        <v>0</v>
      </c>
      <c r="J419" s="292">
        <v>0</v>
      </c>
      <c r="K419" s="292">
        <v>0</v>
      </c>
      <c r="L419" s="292">
        <v>6211</v>
      </c>
    </row>
    <row r="420" spans="1:12" ht="30.75" x14ac:dyDescent="0.25">
      <c r="A420" s="83" t="s">
        <v>329</v>
      </c>
      <c r="B420" s="213" t="s">
        <v>72</v>
      </c>
      <c r="C420" s="213" t="s">
        <v>13</v>
      </c>
      <c r="D420" s="83">
        <v>11</v>
      </c>
      <c r="E420" s="280">
        <v>17982853</v>
      </c>
      <c r="F420" s="280">
        <v>14351227</v>
      </c>
      <c r="G420" s="191" t="s">
        <v>140</v>
      </c>
      <c r="H420" s="292">
        <v>3631626</v>
      </c>
      <c r="I420" s="292">
        <v>0</v>
      </c>
      <c r="J420" s="292">
        <v>0</v>
      </c>
      <c r="K420" s="292">
        <v>0</v>
      </c>
      <c r="L420" s="292">
        <v>3631626</v>
      </c>
    </row>
    <row r="421" spans="1:12" ht="15.75" customHeight="1" x14ac:dyDescent="0.25">
      <c r="A421" s="83" t="s">
        <v>329</v>
      </c>
      <c r="B421" s="213" t="s">
        <v>73</v>
      </c>
      <c r="C421" s="213" t="s">
        <v>14</v>
      </c>
      <c r="D421" s="83">
        <v>313</v>
      </c>
      <c r="E421" s="280">
        <v>3241236</v>
      </c>
      <c r="F421" s="280">
        <v>2671236</v>
      </c>
      <c r="G421" s="191" t="s">
        <v>140</v>
      </c>
      <c r="H421" s="292">
        <v>570000</v>
      </c>
      <c r="I421" s="292">
        <v>0</v>
      </c>
      <c r="J421" s="292">
        <v>0</v>
      </c>
      <c r="K421" s="292">
        <v>0</v>
      </c>
      <c r="L421" s="292">
        <v>570000</v>
      </c>
    </row>
    <row r="422" spans="1:12" ht="45.75" x14ac:dyDescent="0.25">
      <c r="A422" s="83" t="s">
        <v>329</v>
      </c>
      <c r="B422" s="213" t="s">
        <v>67</v>
      </c>
      <c r="C422" s="213" t="s">
        <v>8</v>
      </c>
      <c r="D422" s="83">
        <v>272</v>
      </c>
      <c r="E422" s="280">
        <v>9390921</v>
      </c>
      <c r="F422" s="280">
        <v>7958284</v>
      </c>
      <c r="G422" s="191" t="s">
        <v>140</v>
      </c>
      <c r="H422" s="292">
        <v>1432637</v>
      </c>
      <c r="I422" s="292">
        <v>0</v>
      </c>
      <c r="J422" s="292">
        <v>0</v>
      </c>
      <c r="K422" s="292">
        <v>0</v>
      </c>
      <c r="L422" s="292">
        <v>1432637</v>
      </c>
    </row>
    <row r="423" spans="1:12" ht="45.75" x14ac:dyDescent="0.25">
      <c r="A423" s="83" t="s">
        <v>329</v>
      </c>
      <c r="B423" s="213" t="s">
        <v>82</v>
      </c>
      <c r="C423" s="213" t="s">
        <v>23</v>
      </c>
      <c r="D423" s="83">
        <v>276</v>
      </c>
      <c r="E423" s="280">
        <v>938353</v>
      </c>
      <c r="F423" s="280">
        <v>629984</v>
      </c>
      <c r="G423" s="191" t="s">
        <v>140</v>
      </c>
      <c r="H423" s="292">
        <v>308369</v>
      </c>
      <c r="I423" s="292">
        <v>0</v>
      </c>
      <c r="J423" s="292">
        <v>0</v>
      </c>
      <c r="K423" s="292">
        <v>0</v>
      </c>
      <c r="L423" s="292">
        <v>308369</v>
      </c>
    </row>
    <row r="424" spans="1:12" ht="75.75" x14ac:dyDescent="0.25">
      <c r="A424" s="83" t="s">
        <v>329</v>
      </c>
      <c r="B424" s="213" t="s">
        <v>448</v>
      </c>
      <c r="C424" s="213" t="s">
        <v>449</v>
      </c>
      <c r="D424" s="83">
        <v>292</v>
      </c>
      <c r="E424" s="280">
        <v>7856369</v>
      </c>
      <c r="F424" s="280">
        <v>6178623</v>
      </c>
      <c r="G424" s="191" t="s">
        <v>140</v>
      </c>
      <c r="H424" s="292">
        <v>1677746</v>
      </c>
      <c r="I424" s="292">
        <v>0</v>
      </c>
      <c r="J424" s="292">
        <v>0</v>
      </c>
      <c r="K424" s="292">
        <v>0</v>
      </c>
      <c r="L424" s="292">
        <v>1677746</v>
      </c>
    </row>
    <row r="425" spans="1:12" ht="30.75" x14ac:dyDescent="0.25">
      <c r="A425" s="83" t="s">
        <v>329</v>
      </c>
      <c r="B425" s="213" t="s">
        <v>71</v>
      </c>
      <c r="C425" s="213" t="s">
        <v>12</v>
      </c>
      <c r="D425" s="83">
        <v>209</v>
      </c>
      <c r="E425" s="280">
        <v>297042</v>
      </c>
      <c r="F425" s="280">
        <v>29832</v>
      </c>
      <c r="G425" s="191" t="s">
        <v>140</v>
      </c>
      <c r="H425" s="292">
        <v>267210</v>
      </c>
      <c r="I425" s="292">
        <v>0</v>
      </c>
      <c r="J425" s="292">
        <v>0</v>
      </c>
      <c r="K425" s="292">
        <v>0</v>
      </c>
      <c r="L425" s="292">
        <v>267210</v>
      </c>
    </row>
    <row r="426" spans="1:12" x14ac:dyDescent="0.25">
      <c r="A426" s="83" t="s">
        <v>329</v>
      </c>
      <c r="B426" s="213" t="s">
        <v>74</v>
      </c>
      <c r="C426" s="213" t="s">
        <v>15</v>
      </c>
      <c r="D426" s="83">
        <v>183</v>
      </c>
      <c r="E426" s="280">
        <v>472674</v>
      </c>
      <c r="F426" s="280">
        <v>391438</v>
      </c>
      <c r="G426" s="191" t="s">
        <v>140</v>
      </c>
      <c r="H426" s="292">
        <v>81236</v>
      </c>
      <c r="I426" s="292">
        <v>0</v>
      </c>
      <c r="J426" s="292">
        <v>0</v>
      </c>
      <c r="K426" s="292">
        <v>0</v>
      </c>
      <c r="L426" s="292">
        <v>81236</v>
      </c>
    </row>
    <row r="427" spans="1:12" x14ac:dyDescent="0.25">
      <c r="A427" s="83" t="s">
        <v>329</v>
      </c>
      <c r="B427" s="213" t="s">
        <v>455</v>
      </c>
      <c r="C427" s="213" t="s">
        <v>456</v>
      </c>
      <c r="D427" s="83">
        <v>251</v>
      </c>
      <c r="E427" s="280">
        <v>438643</v>
      </c>
      <c r="F427" s="280">
        <v>278771</v>
      </c>
      <c r="G427" s="191" t="s">
        <v>140</v>
      </c>
      <c r="H427" s="292">
        <v>159872</v>
      </c>
      <c r="I427" s="292">
        <v>0</v>
      </c>
      <c r="J427" s="292">
        <v>0</v>
      </c>
      <c r="K427" s="292">
        <v>0</v>
      </c>
      <c r="L427" s="292">
        <v>159872</v>
      </c>
    </row>
    <row r="428" spans="1:12" x14ac:dyDescent="0.25">
      <c r="A428" s="83" t="s">
        <v>329</v>
      </c>
      <c r="B428" s="213" t="s">
        <v>503</v>
      </c>
      <c r="C428" s="213" t="s">
        <v>504</v>
      </c>
      <c r="D428" s="83">
        <v>333</v>
      </c>
      <c r="E428" s="280">
        <v>51096</v>
      </c>
      <c r="F428" s="280">
        <v>24635</v>
      </c>
      <c r="G428" s="191" t="s">
        <v>140</v>
      </c>
      <c r="H428" s="292">
        <v>26461</v>
      </c>
      <c r="I428" s="292">
        <v>0</v>
      </c>
      <c r="J428" s="292">
        <v>0</v>
      </c>
      <c r="K428" s="292">
        <v>0</v>
      </c>
      <c r="L428" s="292">
        <v>26461</v>
      </c>
    </row>
    <row r="429" spans="1:12" ht="30.75" x14ac:dyDescent="0.25">
      <c r="A429" s="83" t="s">
        <v>329</v>
      </c>
      <c r="B429" s="213" t="s">
        <v>472</v>
      </c>
      <c r="C429" s="213" t="s">
        <v>11</v>
      </c>
      <c r="D429" s="83">
        <v>91</v>
      </c>
      <c r="E429" s="280">
        <v>15135</v>
      </c>
      <c r="F429" s="280">
        <v>10746</v>
      </c>
      <c r="G429" s="191" t="s">
        <v>140</v>
      </c>
      <c r="H429" s="292">
        <v>4389</v>
      </c>
      <c r="I429" s="292">
        <v>0</v>
      </c>
      <c r="J429" s="292">
        <v>0</v>
      </c>
      <c r="K429" s="292">
        <v>0</v>
      </c>
      <c r="L429" s="292">
        <v>4389</v>
      </c>
    </row>
    <row r="430" spans="1:12" x14ac:dyDescent="0.25">
      <c r="A430" s="83" t="s">
        <v>329</v>
      </c>
      <c r="B430" s="213" t="s">
        <v>75</v>
      </c>
      <c r="C430" s="213" t="s">
        <v>16</v>
      </c>
      <c r="D430" s="83">
        <v>192</v>
      </c>
      <c r="E430" s="280">
        <v>281654</v>
      </c>
      <c r="F430" s="280">
        <v>169043</v>
      </c>
      <c r="G430" s="191" t="s">
        <v>140</v>
      </c>
      <c r="H430" s="292">
        <v>112611</v>
      </c>
      <c r="I430" s="292">
        <v>0</v>
      </c>
      <c r="J430" s="292">
        <v>0</v>
      </c>
      <c r="K430" s="292">
        <v>0</v>
      </c>
      <c r="L430" s="292">
        <v>112611</v>
      </c>
    </row>
    <row r="431" spans="1:12" ht="30.75" x14ac:dyDescent="0.25">
      <c r="A431" s="83" t="s">
        <v>329</v>
      </c>
      <c r="B431" s="213" t="s">
        <v>76</v>
      </c>
      <c r="C431" s="213" t="s">
        <v>17</v>
      </c>
      <c r="D431" s="83">
        <v>297</v>
      </c>
      <c r="E431" s="280">
        <v>220983171</v>
      </c>
      <c r="F431" s="280">
        <v>151566073</v>
      </c>
      <c r="G431" s="191" t="s">
        <v>140</v>
      </c>
      <c r="H431" s="292">
        <v>69417098</v>
      </c>
      <c r="I431" s="292">
        <v>0</v>
      </c>
      <c r="J431" s="292">
        <v>0</v>
      </c>
      <c r="K431" s="292">
        <v>0</v>
      </c>
      <c r="L431" s="292">
        <v>69417098</v>
      </c>
    </row>
    <row r="432" spans="1:12" x14ac:dyDescent="0.25">
      <c r="A432" s="83" t="s">
        <v>329</v>
      </c>
      <c r="B432" s="213" t="s">
        <v>77</v>
      </c>
      <c r="C432" s="213" t="s">
        <v>18</v>
      </c>
      <c r="D432" s="83">
        <v>166</v>
      </c>
      <c r="E432" s="280">
        <v>7441492</v>
      </c>
      <c r="F432" s="280">
        <v>5709338</v>
      </c>
      <c r="G432" s="191" t="s">
        <v>140</v>
      </c>
      <c r="H432" s="292">
        <v>1732154</v>
      </c>
      <c r="I432" s="292">
        <v>0</v>
      </c>
      <c r="J432" s="292">
        <v>0</v>
      </c>
      <c r="K432" s="292">
        <v>0</v>
      </c>
      <c r="L432" s="292">
        <v>1732154</v>
      </c>
    </row>
    <row r="433" spans="1:12" x14ac:dyDescent="0.25">
      <c r="A433" s="83" t="s">
        <v>329</v>
      </c>
      <c r="B433" s="213" t="s">
        <v>473</v>
      </c>
      <c r="C433" s="213" t="s">
        <v>474</v>
      </c>
      <c r="D433" s="83">
        <v>268</v>
      </c>
      <c r="E433" s="280">
        <v>6645364</v>
      </c>
      <c r="F433" s="280">
        <v>4043416</v>
      </c>
      <c r="G433" s="191" t="s">
        <v>140</v>
      </c>
      <c r="H433" s="292">
        <v>2601948</v>
      </c>
      <c r="I433" s="292">
        <v>0</v>
      </c>
      <c r="J433" s="292">
        <v>0</v>
      </c>
      <c r="K433" s="292">
        <v>0</v>
      </c>
      <c r="L433" s="292">
        <v>2601948</v>
      </c>
    </row>
    <row r="434" spans="1:12" x14ac:dyDescent="0.25">
      <c r="A434" s="83" t="s">
        <v>329</v>
      </c>
      <c r="B434" s="213" t="s">
        <v>80</v>
      </c>
      <c r="C434" s="213" t="s">
        <v>21</v>
      </c>
      <c r="D434" s="83">
        <v>32</v>
      </c>
      <c r="E434" s="280">
        <v>4523685</v>
      </c>
      <c r="F434" s="280">
        <v>4169933</v>
      </c>
      <c r="G434" s="191" t="s">
        <v>140</v>
      </c>
      <c r="H434" s="292">
        <v>353752</v>
      </c>
      <c r="I434" s="292">
        <v>0</v>
      </c>
      <c r="J434" s="292">
        <v>0</v>
      </c>
      <c r="K434" s="292">
        <v>0</v>
      </c>
      <c r="L434" s="292">
        <v>353752</v>
      </c>
    </row>
    <row r="435" spans="1:12" x14ac:dyDescent="0.25">
      <c r="A435" s="83" t="s">
        <v>329</v>
      </c>
      <c r="B435" s="213" t="s">
        <v>491</v>
      </c>
      <c r="C435" s="213" t="s">
        <v>19</v>
      </c>
      <c r="D435" s="83">
        <v>230</v>
      </c>
      <c r="E435" s="280">
        <v>5839873</v>
      </c>
      <c r="F435" s="280">
        <v>5536750</v>
      </c>
      <c r="G435" s="191" t="s">
        <v>140</v>
      </c>
      <c r="H435" s="292">
        <v>303123</v>
      </c>
      <c r="I435" s="292">
        <v>0</v>
      </c>
      <c r="J435" s="292">
        <v>0</v>
      </c>
      <c r="K435" s="292">
        <v>0</v>
      </c>
      <c r="L435" s="292">
        <v>303123</v>
      </c>
    </row>
    <row r="436" spans="1:12" ht="15.75" customHeight="1" x14ac:dyDescent="0.25">
      <c r="A436" s="83" t="s">
        <v>329</v>
      </c>
      <c r="B436" s="213" t="s">
        <v>475</v>
      </c>
      <c r="C436" s="213" t="s">
        <v>476</v>
      </c>
      <c r="D436" s="83">
        <v>148</v>
      </c>
      <c r="E436" s="280">
        <v>190413</v>
      </c>
      <c r="F436" s="280">
        <v>5416</v>
      </c>
      <c r="G436" s="191" t="s">
        <v>140</v>
      </c>
      <c r="H436" s="292">
        <v>184997</v>
      </c>
      <c r="I436" s="292">
        <v>0</v>
      </c>
      <c r="J436" s="292">
        <v>0</v>
      </c>
      <c r="K436" s="292">
        <v>0</v>
      </c>
      <c r="L436" s="292">
        <v>184997</v>
      </c>
    </row>
    <row r="437" spans="1:12" x14ac:dyDescent="0.25">
      <c r="A437" s="83" t="s">
        <v>329</v>
      </c>
      <c r="B437" s="213" t="s">
        <v>81</v>
      </c>
      <c r="C437" s="213" t="s">
        <v>22</v>
      </c>
      <c r="D437" s="83">
        <v>153</v>
      </c>
      <c r="E437" s="280">
        <v>4617785</v>
      </c>
      <c r="F437" s="280">
        <v>3861580</v>
      </c>
      <c r="G437" s="191" t="s">
        <v>140</v>
      </c>
      <c r="H437" s="292">
        <v>756205</v>
      </c>
      <c r="I437" s="292">
        <v>0</v>
      </c>
      <c r="J437" s="292">
        <v>0</v>
      </c>
      <c r="K437" s="292">
        <v>0</v>
      </c>
      <c r="L437" s="292">
        <v>756205</v>
      </c>
    </row>
    <row r="438" spans="1:12" x14ac:dyDescent="0.25">
      <c r="A438" s="83" t="s">
        <v>329</v>
      </c>
      <c r="B438" s="213" t="s">
        <v>457</v>
      </c>
      <c r="C438" s="213" t="s">
        <v>458</v>
      </c>
      <c r="D438" s="83">
        <v>155</v>
      </c>
      <c r="E438" s="280">
        <v>987871</v>
      </c>
      <c r="F438" s="280">
        <v>268064</v>
      </c>
      <c r="G438" s="191" t="s">
        <v>140</v>
      </c>
      <c r="H438" s="292">
        <v>719807</v>
      </c>
      <c r="I438" s="292">
        <v>0</v>
      </c>
      <c r="J438" s="292">
        <v>0</v>
      </c>
      <c r="K438" s="292">
        <v>0</v>
      </c>
      <c r="L438" s="292">
        <v>719807</v>
      </c>
    </row>
    <row r="439" spans="1:12" x14ac:dyDescent="0.25">
      <c r="A439" s="83" t="s">
        <v>329</v>
      </c>
      <c r="B439" s="213" t="s">
        <v>338</v>
      </c>
      <c r="C439" s="213" t="s">
        <v>339</v>
      </c>
      <c r="D439" s="83">
        <v>42</v>
      </c>
      <c r="E439" s="280">
        <v>16152484</v>
      </c>
      <c r="F439" s="280">
        <v>13025656</v>
      </c>
      <c r="G439" s="191" t="s">
        <v>140</v>
      </c>
      <c r="H439" s="292">
        <v>3126828</v>
      </c>
      <c r="I439" s="292">
        <v>0</v>
      </c>
      <c r="J439" s="292">
        <v>0</v>
      </c>
      <c r="K439" s="292">
        <v>0</v>
      </c>
      <c r="L439" s="292">
        <v>3126828</v>
      </c>
    </row>
    <row r="440" spans="1:12" x14ac:dyDescent="0.25">
      <c r="A440" s="83" t="s">
        <v>329</v>
      </c>
      <c r="B440" s="213" t="s">
        <v>83</v>
      </c>
      <c r="C440" s="213" t="s">
        <v>17</v>
      </c>
      <c r="D440" s="83">
        <v>48</v>
      </c>
      <c r="E440" s="280">
        <v>23711552</v>
      </c>
      <c r="F440" s="280">
        <v>20724878</v>
      </c>
      <c r="G440" s="191" t="s">
        <v>140</v>
      </c>
      <c r="H440" s="292">
        <v>2986674</v>
      </c>
      <c r="I440" s="292">
        <v>0</v>
      </c>
      <c r="J440" s="292">
        <v>0</v>
      </c>
      <c r="K440" s="292">
        <v>0</v>
      </c>
      <c r="L440" s="292">
        <v>2986674</v>
      </c>
    </row>
    <row r="441" spans="1:12" x14ac:dyDescent="0.25">
      <c r="A441" s="83" t="s">
        <v>329</v>
      </c>
      <c r="B441" s="213" t="s">
        <v>326</v>
      </c>
      <c r="C441" s="213" t="s">
        <v>327</v>
      </c>
      <c r="D441" s="83">
        <v>218</v>
      </c>
      <c r="E441" s="280">
        <v>3581330</v>
      </c>
      <c r="F441" s="280">
        <v>2599910</v>
      </c>
      <c r="G441" s="191" t="s">
        <v>140</v>
      </c>
      <c r="H441" s="292">
        <v>981420</v>
      </c>
      <c r="I441" s="292">
        <v>0</v>
      </c>
      <c r="J441" s="292">
        <v>0</v>
      </c>
      <c r="K441" s="292">
        <v>0</v>
      </c>
      <c r="L441" s="292">
        <v>981420</v>
      </c>
    </row>
    <row r="442" spans="1:12" x14ac:dyDescent="0.25">
      <c r="A442" s="83" t="s">
        <v>329</v>
      </c>
      <c r="B442" s="213" t="s">
        <v>84</v>
      </c>
      <c r="C442" s="213" t="s">
        <v>24</v>
      </c>
      <c r="D442" s="83">
        <v>350</v>
      </c>
      <c r="E442" s="280">
        <v>75583</v>
      </c>
      <c r="F442" s="280">
        <v>67957</v>
      </c>
      <c r="G442" s="191" t="s">
        <v>140</v>
      </c>
      <c r="H442" s="292">
        <v>7626</v>
      </c>
      <c r="I442" s="292">
        <v>0</v>
      </c>
      <c r="J442" s="292">
        <v>0</v>
      </c>
      <c r="K442" s="292">
        <v>0</v>
      </c>
      <c r="L442" s="292">
        <v>7626</v>
      </c>
    </row>
    <row r="443" spans="1:12" x14ac:dyDescent="0.25">
      <c r="A443" s="83" t="s">
        <v>329</v>
      </c>
      <c r="B443" s="213" t="s">
        <v>505</v>
      </c>
      <c r="C443" s="213" t="s">
        <v>506</v>
      </c>
      <c r="D443" s="83">
        <v>195</v>
      </c>
      <c r="E443" s="280">
        <v>9000</v>
      </c>
      <c r="F443" s="280">
        <v>4735</v>
      </c>
      <c r="G443" s="191" t="s">
        <v>140</v>
      </c>
      <c r="H443" s="292">
        <v>4265</v>
      </c>
      <c r="I443" s="292">
        <v>0</v>
      </c>
      <c r="J443" s="292">
        <v>0</v>
      </c>
      <c r="K443" s="292">
        <v>0</v>
      </c>
      <c r="L443" s="292">
        <v>4265</v>
      </c>
    </row>
    <row r="444" spans="1:12" x14ac:dyDescent="0.25">
      <c r="A444" s="83" t="s">
        <v>329</v>
      </c>
      <c r="B444" s="213" t="s">
        <v>459</v>
      </c>
      <c r="C444" s="213" t="s">
        <v>460</v>
      </c>
      <c r="D444" s="83">
        <v>173</v>
      </c>
      <c r="E444" s="280">
        <v>1547323</v>
      </c>
      <c r="F444" s="280">
        <v>1294523</v>
      </c>
      <c r="G444" s="191" t="s">
        <v>140</v>
      </c>
      <c r="H444" s="292">
        <v>252800</v>
      </c>
      <c r="I444" s="292">
        <v>0</v>
      </c>
      <c r="J444" s="292">
        <v>0</v>
      </c>
      <c r="K444" s="292">
        <v>0</v>
      </c>
      <c r="L444" s="292">
        <v>252800</v>
      </c>
    </row>
    <row r="445" spans="1:12" x14ac:dyDescent="0.25">
      <c r="A445" s="83" t="s">
        <v>329</v>
      </c>
      <c r="B445" s="213" t="s">
        <v>496</v>
      </c>
      <c r="C445" s="213" t="s">
        <v>497</v>
      </c>
      <c r="D445" s="83">
        <v>304</v>
      </c>
      <c r="E445" s="280">
        <v>201323</v>
      </c>
      <c r="F445" s="280">
        <v>12323</v>
      </c>
      <c r="G445" s="191" t="s">
        <v>140</v>
      </c>
      <c r="H445" s="292">
        <v>189000</v>
      </c>
      <c r="I445" s="292">
        <v>0</v>
      </c>
      <c r="J445" s="292">
        <v>0</v>
      </c>
      <c r="K445" s="292">
        <v>0</v>
      </c>
      <c r="L445" s="292">
        <v>189000</v>
      </c>
    </row>
    <row r="446" spans="1:12" ht="45.75" x14ac:dyDescent="0.25">
      <c r="A446" s="83" t="s">
        <v>329</v>
      </c>
      <c r="B446" s="213" t="s">
        <v>498</v>
      </c>
      <c r="C446" s="213" t="s">
        <v>499</v>
      </c>
      <c r="D446" s="83">
        <v>329</v>
      </c>
      <c r="E446" s="280">
        <v>1485859</v>
      </c>
      <c r="F446" s="280">
        <v>1185110</v>
      </c>
      <c r="G446" s="191" t="s">
        <v>140</v>
      </c>
      <c r="H446" s="292">
        <v>300749</v>
      </c>
      <c r="I446" s="292">
        <v>0</v>
      </c>
      <c r="J446" s="292">
        <v>0</v>
      </c>
      <c r="K446" s="292">
        <v>0</v>
      </c>
      <c r="L446" s="292">
        <v>300749</v>
      </c>
    </row>
    <row r="447" spans="1:12" ht="30.75" x14ac:dyDescent="0.25">
      <c r="A447" s="83" t="s">
        <v>329</v>
      </c>
      <c r="B447" s="213" t="s">
        <v>466</v>
      </c>
      <c r="C447" s="213" t="s">
        <v>467</v>
      </c>
      <c r="D447" s="83">
        <v>261</v>
      </c>
      <c r="E447" s="280">
        <v>790823</v>
      </c>
      <c r="F447" s="280">
        <v>738103</v>
      </c>
      <c r="G447" s="191" t="s">
        <v>140</v>
      </c>
      <c r="H447" s="292">
        <v>52720</v>
      </c>
      <c r="I447" s="292">
        <v>0</v>
      </c>
      <c r="J447" s="292">
        <v>0</v>
      </c>
      <c r="K447" s="292">
        <v>0</v>
      </c>
      <c r="L447" s="292">
        <v>52720</v>
      </c>
    </row>
    <row r="448" spans="1:12" x14ac:dyDescent="0.25">
      <c r="A448" s="83" t="s">
        <v>329</v>
      </c>
      <c r="B448" s="213" t="s">
        <v>461</v>
      </c>
      <c r="C448" s="213" t="s">
        <v>25</v>
      </c>
      <c r="D448" s="83">
        <v>244</v>
      </c>
      <c r="E448" s="280">
        <v>1888836</v>
      </c>
      <c r="F448" s="280">
        <v>1773230</v>
      </c>
      <c r="G448" s="191" t="s">
        <v>140</v>
      </c>
      <c r="H448" s="292">
        <v>115606</v>
      </c>
      <c r="I448" s="292">
        <v>0</v>
      </c>
      <c r="J448" s="292">
        <v>0</v>
      </c>
      <c r="K448" s="292">
        <v>0</v>
      </c>
      <c r="L448" s="292">
        <v>115606</v>
      </c>
    </row>
    <row r="449" spans="1:12" ht="15" customHeight="1" x14ac:dyDescent="0.25">
      <c r="A449" s="83" t="s">
        <v>329</v>
      </c>
      <c r="B449" s="213" t="s">
        <v>477</v>
      </c>
      <c r="C449" s="213" t="s">
        <v>17</v>
      </c>
      <c r="D449" s="83">
        <v>280</v>
      </c>
      <c r="E449" s="280">
        <v>119811</v>
      </c>
      <c r="F449" s="280">
        <v>29250</v>
      </c>
      <c r="G449" s="191" t="s">
        <v>140</v>
      </c>
      <c r="H449" s="292">
        <v>90561</v>
      </c>
      <c r="I449" s="292">
        <v>0</v>
      </c>
      <c r="J449" s="292">
        <v>0</v>
      </c>
      <c r="K449" s="292">
        <v>0</v>
      </c>
      <c r="L449" s="292">
        <v>90561</v>
      </c>
    </row>
    <row r="450" spans="1:12" ht="30.75" customHeight="1" x14ac:dyDescent="0.25">
      <c r="A450" s="83" t="s">
        <v>329</v>
      </c>
      <c r="B450" s="213" t="s">
        <v>500</v>
      </c>
      <c r="C450" s="213" t="s">
        <v>11</v>
      </c>
      <c r="D450" s="83">
        <v>176</v>
      </c>
      <c r="E450" s="280">
        <v>4838148</v>
      </c>
      <c r="F450" s="280">
        <v>3627093</v>
      </c>
      <c r="G450" s="191" t="s">
        <v>140</v>
      </c>
      <c r="H450" s="292">
        <v>1211055</v>
      </c>
      <c r="I450" s="292">
        <v>0</v>
      </c>
      <c r="J450" s="292">
        <v>0</v>
      </c>
      <c r="K450" s="292">
        <v>0</v>
      </c>
      <c r="L450" s="292">
        <v>1211055</v>
      </c>
    </row>
    <row r="451" spans="1:12" ht="15" customHeight="1" x14ac:dyDescent="0.25">
      <c r="A451" s="83" t="s">
        <v>329</v>
      </c>
      <c r="B451" s="213" t="s">
        <v>507</v>
      </c>
      <c r="C451" s="213" t="s">
        <v>508</v>
      </c>
      <c r="D451" s="83">
        <v>57</v>
      </c>
      <c r="E451" s="280">
        <v>108771</v>
      </c>
      <c r="F451" s="280">
        <v>62375</v>
      </c>
      <c r="G451" s="191" t="s">
        <v>140</v>
      </c>
      <c r="H451" s="292">
        <v>46396</v>
      </c>
      <c r="I451" s="292">
        <v>0</v>
      </c>
      <c r="J451" s="292">
        <v>0</v>
      </c>
      <c r="K451" s="292">
        <v>0</v>
      </c>
      <c r="L451" s="292">
        <v>46396</v>
      </c>
    </row>
    <row r="452" spans="1:12" x14ac:dyDescent="0.25">
      <c r="A452" s="83" t="s">
        <v>329</v>
      </c>
      <c r="B452" s="213" t="s">
        <v>85</v>
      </c>
      <c r="C452" s="213" t="s">
        <v>26</v>
      </c>
      <c r="D452" s="83">
        <v>171</v>
      </c>
      <c r="E452" s="280">
        <v>2690215</v>
      </c>
      <c r="F452" s="280">
        <v>2201763</v>
      </c>
      <c r="G452" s="191" t="s">
        <v>140</v>
      </c>
      <c r="H452" s="292">
        <v>488452</v>
      </c>
      <c r="I452" s="292">
        <v>0</v>
      </c>
      <c r="J452" s="292">
        <v>0</v>
      </c>
      <c r="K452" s="292">
        <v>0</v>
      </c>
      <c r="L452" s="292">
        <v>488452</v>
      </c>
    </row>
    <row r="453" spans="1:12" ht="30.75" x14ac:dyDescent="0.25">
      <c r="A453" s="83" t="s">
        <v>329</v>
      </c>
      <c r="B453" s="213" t="s">
        <v>86</v>
      </c>
      <c r="C453" s="213" t="s">
        <v>25</v>
      </c>
      <c r="D453" s="83">
        <v>258</v>
      </c>
      <c r="E453" s="280">
        <v>3264325</v>
      </c>
      <c r="F453" s="280">
        <v>2074791</v>
      </c>
      <c r="G453" s="191" t="s">
        <v>140</v>
      </c>
      <c r="H453" s="292">
        <v>1189534</v>
      </c>
      <c r="I453" s="292">
        <v>0</v>
      </c>
      <c r="J453" s="292">
        <v>0</v>
      </c>
      <c r="K453" s="292">
        <v>0</v>
      </c>
      <c r="L453" s="292">
        <v>1189534</v>
      </c>
    </row>
    <row r="454" spans="1:12" x14ac:dyDescent="0.25">
      <c r="A454" s="83" t="s">
        <v>329</v>
      </c>
      <c r="B454" s="213" t="s">
        <v>478</v>
      </c>
      <c r="C454" s="213" t="s">
        <v>479</v>
      </c>
      <c r="D454" s="83">
        <v>228</v>
      </c>
      <c r="E454" s="280">
        <v>7405</v>
      </c>
      <c r="F454" s="280">
        <v>3652</v>
      </c>
      <c r="G454" s="191" t="s">
        <v>140</v>
      </c>
      <c r="H454" s="292">
        <v>3753</v>
      </c>
      <c r="I454" s="292">
        <v>0</v>
      </c>
      <c r="J454" s="292">
        <v>0</v>
      </c>
      <c r="K454" s="292">
        <v>0</v>
      </c>
      <c r="L454" s="292">
        <v>3753</v>
      </c>
    </row>
    <row r="455" spans="1:12" x14ac:dyDescent="0.25">
      <c r="A455" s="83" t="s">
        <v>329</v>
      </c>
      <c r="B455" s="213" t="s">
        <v>509</v>
      </c>
      <c r="C455" s="213" t="s">
        <v>510</v>
      </c>
      <c r="D455" s="83">
        <v>58</v>
      </c>
      <c r="E455" s="280">
        <v>205106</v>
      </c>
      <c r="F455" s="280">
        <v>197875</v>
      </c>
      <c r="G455" s="191" t="s">
        <v>140</v>
      </c>
      <c r="H455" s="292">
        <v>7231</v>
      </c>
      <c r="I455" s="292">
        <v>0</v>
      </c>
      <c r="J455" s="292">
        <v>0</v>
      </c>
      <c r="K455" s="292">
        <v>0</v>
      </c>
      <c r="L455" s="292">
        <v>7231</v>
      </c>
    </row>
    <row r="456" spans="1:12" x14ac:dyDescent="0.25">
      <c r="A456" s="83" t="s">
        <v>329</v>
      </c>
      <c r="B456" s="213" t="s">
        <v>480</v>
      </c>
      <c r="C456" s="213" t="s">
        <v>481</v>
      </c>
      <c r="D456" s="83">
        <v>308</v>
      </c>
      <c r="E456" s="280">
        <v>242733</v>
      </c>
      <c r="F456" s="280">
        <v>87061</v>
      </c>
      <c r="G456" s="191" t="s">
        <v>140</v>
      </c>
      <c r="H456" s="292">
        <v>155672</v>
      </c>
      <c r="I456" s="292">
        <v>0</v>
      </c>
      <c r="J456" s="292">
        <v>0</v>
      </c>
      <c r="K456" s="292">
        <v>0</v>
      </c>
      <c r="L456" s="292">
        <v>155672</v>
      </c>
    </row>
    <row r="457" spans="1:12" x14ac:dyDescent="0.25">
      <c r="A457" s="83" t="s">
        <v>329</v>
      </c>
      <c r="B457" s="213" t="s">
        <v>87</v>
      </c>
      <c r="C457" s="213" t="s">
        <v>17</v>
      </c>
      <c r="D457" s="83">
        <v>260</v>
      </c>
      <c r="E457" s="280">
        <v>17524560</v>
      </c>
      <c r="F457" s="280">
        <v>14643538</v>
      </c>
      <c r="G457" s="191" t="s">
        <v>140</v>
      </c>
      <c r="H457" s="292">
        <v>2881022</v>
      </c>
      <c r="I457" s="292">
        <v>0</v>
      </c>
      <c r="J457" s="292">
        <v>0</v>
      </c>
      <c r="K457" s="292">
        <v>0</v>
      </c>
      <c r="L457" s="292">
        <v>2881022</v>
      </c>
    </row>
    <row r="458" spans="1:12" x14ac:dyDescent="0.25">
      <c r="A458" s="83" t="s">
        <v>329</v>
      </c>
      <c r="B458" s="213" t="s">
        <v>462</v>
      </c>
      <c r="C458" s="213" t="s">
        <v>463</v>
      </c>
      <c r="D458" s="83">
        <v>346</v>
      </c>
      <c r="E458" s="280">
        <v>32108</v>
      </c>
      <c r="F458" s="280">
        <v>16987</v>
      </c>
      <c r="G458" s="191" t="s">
        <v>140</v>
      </c>
      <c r="H458" s="292">
        <v>15121</v>
      </c>
      <c r="I458" s="292">
        <v>0</v>
      </c>
      <c r="J458" s="292">
        <v>0</v>
      </c>
      <c r="K458" s="292">
        <v>0</v>
      </c>
      <c r="L458" s="292">
        <v>15121</v>
      </c>
    </row>
    <row r="459" spans="1:12" x14ac:dyDescent="0.25">
      <c r="A459" s="83" t="s">
        <v>329</v>
      </c>
      <c r="B459" s="213" t="s">
        <v>89</v>
      </c>
      <c r="C459" s="213" t="s">
        <v>28</v>
      </c>
      <c r="D459" s="83">
        <v>351</v>
      </c>
      <c r="E459" s="280">
        <v>122036</v>
      </c>
      <c r="F459" s="280">
        <v>112462</v>
      </c>
      <c r="G459" s="191" t="s">
        <v>140</v>
      </c>
      <c r="H459" s="292">
        <v>9574</v>
      </c>
      <c r="I459" s="292">
        <v>0</v>
      </c>
      <c r="J459" s="292">
        <v>0</v>
      </c>
      <c r="K459" s="292">
        <v>0</v>
      </c>
      <c r="L459" s="292">
        <v>9574</v>
      </c>
    </row>
    <row r="460" spans="1:12" ht="15" customHeight="1" x14ac:dyDescent="0.25">
      <c r="A460" s="202" t="s">
        <v>342</v>
      </c>
      <c r="B460" s="218" t="s">
        <v>140</v>
      </c>
      <c r="C460" s="218" t="s">
        <v>140</v>
      </c>
      <c r="D460" s="218" t="s">
        <v>140</v>
      </c>
      <c r="E460" s="244">
        <f>SUBTOTAL(109,school201011[Program
Costs])</f>
        <v>376311387</v>
      </c>
      <c r="F460" s="244">
        <f>SUBTOTAL(109,school201011[Less: Net Payments and Offsets2])</f>
        <v>275967921</v>
      </c>
      <c r="G460" s="218" t="s">
        <v>140</v>
      </c>
      <c r="H460" s="244">
        <f>SUBTOTAL(109,school201011[Accounts Payable
Balance])</f>
        <v>100343466</v>
      </c>
      <c r="I460" s="244">
        <f>SUBTOTAL(109,school201011[Established
Accounts Receivable])</f>
        <v>0</v>
      </c>
      <c r="J460" s="244">
        <f>SUBTOTAL(109,school201011[Less: Recovered Amount])</f>
        <v>0</v>
      </c>
      <c r="K460" s="244">
        <f>SUBTOTAL(109,school201011[Accounts Receivable
Balance])</f>
        <v>0</v>
      </c>
      <c r="L460" s="244">
        <f>SUBTOTAL(109,school201011[Net
Balance])</f>
        <v>100343466</v>
      </c>
    </row>
    <row r="461" spans="1:12" x14ac:dyDescent="0.25">
      <c r="A461" s="195" t="s">
        <v>141</v>
      </c>
      <c r="B461" s="142"/>
      <c r="C461" s="142"/>
      <c r="D461" s="142"/>
      <c r="E461" s="26"/>
      <c r="F461" s="26"/>
      <c r="G461" s="196"/>
      <c r="H461" s="26"/>
      <c r="I461" s="26"/>
      <c r="J461" s="26"/>
      <c r="K461" s="26"/>
      <c r="L461" s="26"/>
    </row>
    <row r="462" spans="1:12" ht="50.1" customHeight="1" x14ac:dyDescent="0.25">
      <c r="A462" s="12" t="s">
        <v>5</v>
      </c>
      <c r="B462" s="12" t="s">
        <v>6</v>
      </c>
      <c r="C462" s="12" t="s">
        <v>0</v>
      </c>
      <c r="D462" s="12" t="s">
        <v>441</v>
      </c>
      <c r="E462" s="189" t="s">
        <v>234</v>
      </c>
      <c r="F462" s="216" t="s">
        <v>452</v>
      </c>
      <c r="G462" s="190" t="s">
        <v>142</v>
      </c>
      <c r="H462" s="189" t="s">
        <v>444</v>
      </c>
      <c r="I462" s="189" t="s">
        <v>445</v>
      </c>
      <c r="J462" s="189" t="s">
        <v>446</v>
      </c>
      <c r="K462" s="189" t="s">
        <v>447</v>
      </c>
      <c r="L462" s="189" t="s">
        <v>305</v>
      </c>
    </row>
    <row r="463" spans="1:12" ht="15.75" customHeight="1" x14ac:dyDescent="0.25">
      <c r="A463" s="83" t="s">
        <v>343</v>
      </c>
      <c r="B463" s="213" t="s">
        <v>468</v>
      </c>
      <c r="C463" s="213" t="s">
        <v>469</v>
      </c>
      <c r="D463" s="83">
        <v>305</v>
      </c>
      <c r="E463" s="280">
        <v>163684</v>
      </c>
      <c r="F463" s="280">
        <v>121828</v>
      </c>
      <c r="G463" s="191" t="s">
        <v>140</v>
      </c>
      <c r="H463" s="292">
        <v>41856</v>
      </c>
      <c r="I463" s="292">
        <v>0</v>
      </c>
      <c r="J463" s="292">
        <v>0</v>
      </c>
      <c r="K463" s="292">
        <v>0</v>
      </c>
      <c r="L463" s="292">
        <v>41856</v>
      </c>
    </row>
    <row r="464" spans="1:12" x14ac:dyDescent="0.25">
      <c r="A464" s="83" t="s">
        <v>343</v>
      </c>
      <c r="B464" s="213" t="s">
        <v>501</v>
      </c>
      <c r="C464" s="213" t="s">
        <v>502</v>
      </c>
      <c r="D464" s="83">
        <v>269</v>
      </c>
      <c r="E464" s="280">
        <v>12470</v>
      </c>
      <c r="F464" s="280">
        <v>9355</v>
      </c>
      <c r="G464" s="191" t="s">
        <v>140</v>
      </c>
      <c r="H464" s="292">
        <v>3115</v>
      </c>
      <c r="I464" s="292">
        <v>0</v>
      </c>
      <c r="J464" s="292">
        <v>0</v>
      </c>
      <c r="K464" s="292">
        <v>0</v>
      </c>
      <c r="L464" s="292">
        <v>3115</v>
      </c>
    </row>
    <row r="465" spans="1:12" ht="30.75" x14ac:dyDescent="0.25">
      <c r="A465" s="83" t="s">
        <v>343</v>
      </c>
      <c r="B465" s="213" t="s">
        <v>66</v>
      </c>
      <c r="C465" s="213" t="s">
        <v>7</v>
      </c>
      <c r="D465" s="83">
        <v>250</v>
      </c>
      <c r="E465" s="280">
        <v>1382752</v>
      </c>
      <c r="F465" s="280">
        <v>1354624</v>
      </c>
      <c r="G465" s="191" t="s">
        <v>140</v>
      </c>
      <c r="H465" s="292">
        <v>28128</v>
      </c>
      <c r="I465" s="292">
        <v>0</v>
      </c>
      <c r="J465" s="292">
        <v>0</v>
      </c>
      <c r="K465" s="292">
        <v>0</v>
      </c>
      <c r="L465" s="292">
        <v>28128</v>
      </c>
    </row>
    <row r="466" spans="1:12" ht="30.75" x14ac:dyDescent="0.25">
      <c r="A466" s="83" t="s">
        <v>343</v>
      </c>
      <c r="B466" s="213" t="s">
        <v>495</v>
      </c>
      <c r="C466" s="213" t="s">
        <v>490</v>
      </c>
      <c r="D466" s="83">
        <v>348</v>
      </c>
      <c r="E466" s="280">
        <v>54274890</v>
      </c>
      <c r="F466" s="280">
        <v>43186728</v>
      </c>
      <c r="G466" s="191" t="s">
        <v>140</v>
      </c>
      <c r="H466" s="292">
        <v>11088162</v>
      </c>
      <c r="I466" s="292">
        <v>0</v>
      </c>
      <c r="J466" s="292">
        <v>0</v>
      </c>
      <c r="K466" s="292">
        <v>0</v>
      </c>
      <c r="L466" s="292">
        <v>11088162</v>
      </c>
    </row>
    <row r="467" spans="1:12" x14ac:dyDescent="0.25">
      <c r="A467" s="83" t="s">
        <v>343</v>
      </c>
      <c r="B467" s="213" t="s">
        <v>482</v>
      </c>
      <c r="C467" s="213" t="s">
        <v>335</v>
      </c>
      <c r="D467" s="83">
        <v>354</v>
      </c>
      <c r="E467" s="280">
        <v>49027</v>
      </c>
      <c r="F467" s="280">
        <v>43176</v>
      </c>
      <c r="G467" s="191" t="s">
        <v>140</v>
      </c>
      <c r="H467" s="292">
        <v>5851</v>
      </c>
      <c r="I467" s="292">
        <v>0</v>
      </c>
      <c r="J467" s="292">
        <v>0</v>
      </c>
      <c r="K467" s="292">
        <v>0</v>
      </c>
      <c r="L467" s="292">
        <v>5851</v>
      </c>
    </row>
    <row r="468" spans="1:12" x14ac:dyDescent="0.25">
      <c r="A468" s="83" t="s">
        <v>343</v>
      </c>
      <c r="B468" s="213" t="s">
        <v>464</v>
      </c>
      <c r="C468" s="213" t="s">
        <v>465</v>
      </c>
      <c r="D468" s="83">
        <v>278</v>
      </c>
      <c r="E468" s="280">
        <v>1945612</v>
      </c>
      <c r="F468" s="280">
        <v>1771159</v>
      </c>
      <c r="G468" s="191" t="s">
        <v>140</v>
      </c>
      <c r="H468" s="292">
        <v>174453</v>
      </c>
      <c r="I468" s="292">
        <v>0</v>
      </c>
      <c r="J468" s="292">
        <v>0</v>
      </c>
      <c r="K468" s="292">
        <v>0</v>
      </c>
      <c r="L468" s="292">
        <v>174453</v>
      </c>
    </row>
    <row r="469" spans="1:12" x14ac:dyDescent="0.25">
      <c r="A469" s="83" t="s">
        <v>343</v>
      </c>
      <c r="B469" s="213" t="s">
        <v>470</v>
      </c>
      <c r="C469" s="213" t="s">
        <v>471</v>
      </c>
      <c r="D469" s="83">
        <v>309</v>
      </c>
      <c r="E469" s="280">
        <v>10638</v>
      </c>
      <c r="F469" s="280">
        <v>1061</v>
      </c>
      <c r="G469" s="191" t="s">
        <v>140</v>
      </c>
      <c r="H469" s="292">
        <v>9577</v>
      </c>
      <c r="I469" s="292">
        <v>0</v>
      </c>
      <c r="J469" s="292">
        <v>0</v>
      </c>
      <c r="K469" s="292">
        <v>0</v>
      </c>
      <c r="L469" s="292">
        <v>9577</v>
      </c>
    </row>
    <row r="470" spans="1:12" ht="30.75" x14ac:dyDescent="0.25">
      <c r="A470" s="83" t="s">
        <v>343</v>
      </c>
      <c r="B470" s="213" t="s">
        <v>72</v>
      </c>
      <c r="C470" s="213" t="s">
        <v>13</v>
      </c>
      <c r="D470" s="83">
        <v>11</v>
      </c>
      <c r="E470" s="280">
        <v>21146549</v>
      </c>
      <c r="F470" s="280">
        <v>17942274</v>
      </c>
      <c r="G470" s="191" t="s">
        <v>140</v>
      </c>
      <c r="H470" s="292">
        <v>3204275</v>
      </c>
      <c r="I470" s="292">
        <v>6116</v>
      </c>
      <c r="J470" s="292">
        <v>2133</v>
      </c>
      <c r="K470" s="292">
        <v>3983</v>
      </c>
      <c r="L470" s="292">
        <v>3200292</v>
      </c>
    </row>
    <row r="471" spans="1:12" ht="15.75" customHeight="1" x14ac:dyDescent="0.25">
      <c r="A471" s="83" t="s">
        <v>343</v>
      </c>
      <c r="B471" s="213" t="s">
        <v>73</v>
      </c>
      <c r="C471" s="213" t="s">
        <v>14</v>
      </c>
      <c r="D471" s="83">
        <v>313</v>
      </c>
      <c r="E471" s="280">
        <v>3339644</v>
      </c>
      <c r="F471" s="280">
        <v>3296121</v>
      </c>
      <c r="G471" s="191" t="s">
        <v>140</v>
      </c>
      <c r="H471" s="292">
        <v>43523</v>
      </c>
      <c r="I471" s="292">
        <v>0</v>
      </c>
      <c r="J471" s="292">
        <v>0</v>
      </c>
      <c r="K471" s="292">
        <v>0</v>
      </c>
      <c r="L471" s="292">
        <v>43523</v>
      </c>
    </row>
    <row r="472" spans="1:12" ht="45.75" x14ac:dyDescent="0.25">
      <c r="A472" s="83" t="s">
        <v>343</v>
      </c>
      <c r="B472" s="213" t="s">
        <v>67</v>
      </c>
      <c r="C472" s="213" t="s">
        <v>8</v>
      </c>
      <c r="D472" s="83">
        <v>272</v>
      </c>
      <c r="E472" s="280">
        <v>9245785</v>
      </c>
      <c r="F472" s="280">
        <v>9214618</v>
      </c>
      <c r="G472" s="191" t="s">
        <v>140</v>
      </c>
      <c r="H472" s="292">
        <v>31167</v>
      </c>
      <c r="I472" s="292">
        <v>0</v>
      </c>
      <c r="J472" s="292">
        <v>0</v>
      </c>
      <c r="K472" s="292">
        <v>0</v>
      </c>
      <c r="L472" s="292">
        <v>31167</v>
      </c>
    </row>
    <row r="473" spans="1:12" ht="45.75" x14ac:dyDescent="0.25">
      <c r="A473" s="83" t="s">
        <v>343</v>
      </c>
      <c r="B473" s="213" t="s">
        <v>82</v>
      </c>
      <c r="C473" s="213" t="s">
        <v>23</v>
      </c>
      <c r="D473" s="83">
        <v>276</v>
      </c>
      <c r="E473" s="280">
        <v>824608</v>
      </c>
      <c r="F473" s="280">
        <v>616600</v>
      </c>
      <c r="G473" s="191" t="s">
        <v>140</v>
      </c>
      <c r="H473" s="292">
        <v>208008</v>
      </c>
      <c r="I473" s="292">
        <v>0</v>
      </c>
      <c r="J473" s="292">
        <v>0</v>
      </c>
      <c r="K473" s="292">
        <v>0</v>
      </c>
      <c r="L473" s="292">
        <v>208008</v>
      </c>
    </row>
    <row r="474" spans="1:12" ht="75.75" x14ac:dyDescent="0.25">
      <c r="A474" s="83" t="s">
        <v>343</v>
      </c>
      <c r="B474" s="213" t="s">
        <v>448</v>
      </c>
      <c r="C474" s="213" t="s">
        <v>449</v>
      </c>
      <c r="D474" s="83">
        <v>292</v>
      </c>
      <c r="E474" s="280">
        <v>8776032</v>
      </c>
      <c r="F474" s="280">
        <v>8520670</v>
      </c>
      <c r="G474" s="191" t="s">
        <v>140</v>
      </c>
      <c r="H474" s="292">
        <v>255362</v>
      </c>
      <c r="I474" s="292">
        <v>33477</v>
      </c>
      <c r="J474" s="292">
        <v>11081</v>
      </c>
      <c r="K474" s="292">
        <v>22396</v>
      </c>
      <c r="L474" s="292">
        <v>232966</v>
      </c>
    </row>
    <row r="475" spans="1:12" ht="30.75" x14ac:dyDescent="0.25">
      <c r="A475" s="83" t="s">
        <v>343</v>
      </c>
      <c r="B475" s="213" t="s">
        <v>71</v>
      </c>
      <c r="C475" s="213" t="s">
        <v>12</v>
      </c>
      <c r="D475" s="83">
        <v>209</v>
      </c>
      <c r="E475" s="280">
        <v>337987</v>
      </c>
      <c r="F475" s="280">
        <v>316188</v>
      </c>
      <c r="G475" s="191" t="s">
        <v>140</v>
      </c>
      <c r="H475" s="292">
        <v>21799</v>
      </c>
      <c r="I475" s="292">
        <v>0</v>
      </c>
      <c r="J475" s="292">
        <v>0</v>
      </c>
      <c r="K475" s="292">
        <v>0</v>
      </c>
      <c r="L475" s="292">
        <v>21799</v>
      </c>
    </row>
    <row r="476" spans="1:12" x14ac:dyDescent="0.25">
      <c r="A476" s="83" t="s">
        <v>343</v>
      </c>
      <c r="B476" s="213" t="s">
        <v>74</v>
      </c>
      <c r="C476" s="213" t="s">
        <v>15</v>
      </c>
      <c r="D476" s="83">
        <v>183</v>
      </c>
      <c r="E476" s="280">
        <v>444298</v>
      </c>
      <c r="F476" s="280">
        <v>442546</v>
      </c>
      <c r="G476" s="191" t="s">
        <v>140</v>
      </c>
      <c r="H476" s="292">
        <v>1752</v>
      </c>
      <c r="I476" s="292">
        <v>0</v>
      </c>
      <c r="J476" s="292">
        <v>0</v>
      </c>
      <c r="K476" s="292">
        <v>0</v>
      </c>
      <c r="L476" s="292">
        <v>1752</v>
      </c>
    </row>
    <row r="477" spans="1:12" x14ac:dyDescent="0.25">
      <c r="A477" s="83" t="s">
        <v>343</v>
      </c>
      <c r="B477" s="213" t="s">
        <v>455</v>
      </c>
      <c r="C477" s="213" t="s">
        <v>456</v>
      </c>
      <c r="D477" s="83">
        <v>251</v>
      </c>
      <c r="E477" s="280">
        <v>382165</v>
      </c>
      <c r="F477" s="280">
        <v>323806</v>
      </c>
      <c r="G477" s="191" t="s">
        <v>140</v>
      </c>
      <c r="H477" s="292">
        <v>58359</v>
      </c>
      <c r="I477" s="292">
        <v>0</v>
      </c>
      <c r="J477" s="292">
        <v>0</v>
      </c>
      <c r="K477" s="292">
        <v>0</v>
      </c>
      <c r="L477" s="292">
        <v>58359</v>
      </c>
    </row>
    <row r="478" spans="1:12" x14ac:dyDescent="0.25">
      <c r="A478" s="83" t="s">
        <v>343</v>
      </c>
      <c r="B478" s="213" t="s">
        <v>503</v>
      </c>
      <c r="C478" s="213" t="s">
        <v>504</v>
      </c>
      <c r="D478" s="83">
        <v>333</v>
      </c>
      <c r="E478" s="280">
        <v>65793</v>
      </c>
      <c r="F478" s="280">
        <v>47649</v>
      </c>
      <c r="G478" s="191" t="s">
        <v>140</v>
      </c>
      <c r="H478" s="292">
        <v>18144</v>
      </c>
      <c r="I478" s="292">
        <v>0</v>
      </c>
      <c r="J478" s="292">
        <v>0</v>
      </c>
      <c r="K478" s="292">
        <v>0</v>
      </c>
      <c r="L478" s="292">
        <v>18144</v>
      </c>
    </row>
    <row r="479" spans="1:12" ht="30.75" x14ac:dyDescent="0.25">
      <c r="A479" s="83" t="s">
        <v>343</v>
      </c>
      <c r="B479" s="213" t="s">
        <v>472</v>
      </c>
      <c r="C479" s="213" t="s">
        <v>11</v>
      </c>
      <c r="D479" s="83">
        <v>91</v>
      </c>
      <c r="E479" s="280">
        <v>12754</v>
      </c>
      <c r="F479" s="280">
        <v>10819</v>
      </c>
      <c r="G479" s="191" t="s">
        <v>140</v>
      </c>
      <c r="H479" s="292">
        <v>1935</v>
      </c>
      <c r="I479" s="292">
        <v>0</v>
      </c>
      <c r="J479" s="292">
        <v>0</v>
      </c>
      <c r="K479" s="292">
        <v>0</v>
      </c>
      <c r="L479" s="292">
        <v>1935</v>
      </c>
    </row>
    <row r="480" spans="1:12" ht="30.75" x14ac:dyDescent="0.25">
      <c r="A480" s="83" t="s">
        <v>343</v>
      </c>
      <c r="B480" s="213" t="s">
        <v>76</v>
      </c>
      <c r="C480" s="213" t="s">
        <v>17</v>
      </c>
      <c r="D480" s="83">
        <v>297</v>
      </c>
      <c r="E480" s="280">
        <v>256893924</v>
      </c>
      <c r="F480" s="280">
        <v>175216847</v>
      </c>
      <c r="G480" s="191" t="s">
        <v>140</v>
      </c>
      <c r="H480" s="292">
        <v>81677077</v>
      </c>
      <c r="I480" s="292">
        <v>0</v>
      </c>
      <c r="J480" s="292">
        <v>0</v>
      </c>
      <c r="K480" s="292">
        <v>0</v>
      </c>
      <c r="L480" s="292">
        <v>81677077</v>
      </c>
    </row>
    <row r="481" spans="1:12" x14ac:dyDescent="0.25">
      <c r="A481" s="83" t="s">
        <v>343</v>
      </c>
      <c r="B481" s="213" t="s">
        <v>77</v>
      </c>
      <c r="C481" s="213" t="s">
        <v>18</v>
      </c>
      <c r="D481" s="83">
        <v>166</v>
      </c>
      <c r="E481" s="280">
        <v>8133459</v>
      </c>
      <c r="F481" s="280">
        <v>7007725</v>
      </c>
      <c r="G481" s="191" t="s">
        <v>140</v>
      </c>
      <c r="H481" s="292">
        <v>1125734</v>
      </c>
      <c r="I481" s="292">
        <v>0</v>
      </c>
      <c r="J481" s="292">
        <v>0</v>
      </c>
      <c r="K481" s="292">
        <v>0</v>
      </c>
      <c r="L481" s="292">
        <v>1125734</v>
      </c>
    </row>
    <row r="482" spans="1:12" ht="15.75" customHeight="1" x14ac:dyDescent="0.25">
      <c r="A482" s="83" t="s">
        <v>343</v>
      </c>
      <c r="B482" s="213" t="s">
        <v>473</v>
      </c>
      <c r="C482" s="213" t="s">
        <v>474</v>
      </c>
      <c r="D482" s="83">
        <v>268</v>
      </c>
      <c r="E482" s="280">
        <v>7419164</v>
      </c>
      <c r="F482" s="280">
        <v>6754707</v>
      </c>
      <c r="G482" s="191" t="s">
        <v>140</v>
      </c>
      <c r="H482" s="292">
        <v>664457</v>
      </c>
      <c r="I482" s="292">
        <v>0</v>
      </c>
      <c r="J482" s="292">
        <v>0</v>
      </c>
      <c r="K482" s="292">
        <v>0</v>
      </c>
      <c r="L482" s="292">
        <v>664457</v>
      </c>
    </row>
    <row r="483" spans="1:12" x14ac:dyDescent="0.25">
      <c r="A483" s="83" t="s">
        <v>343</v>
      </c>
      <c r="B483" s="213" t="s">
        <v>80</v>
      </c>
      <c r="C483" s="213" t="s">
        <v>21</v>
      </c>
      <c r="D483" s="83">
        <v>32</v>
      </c>
      <c r="E483" s="280">
        <v>4671453</v>
      </c>
      <c r="F483" s="280">
        <v>4619165</v>
      </c>
      <c r="G483" s="191" t="s">
        <v>140</v>
      </c>
      <c r="H483" s="292">
        <v>52288</v>
      </c>
      <c r="I483" s="292">
        <v>0</v>
      </c>
      <c r="J483" s="292">
        <v>0</v>
      </c>
      <c r="K483" s="292">
        <v>0</v>
      </c>
      <c r="L483" s="292">
        <v>52288</v>
      </c>
    </row>
    <row r="484" spans="1:12" x14ac:dyDescent="0.25">
      <c r="A484" s="83" t="s">
        <v>343</v>
      </c>
      <c r="B484" s="213" t="s">
        <v>491</v>
      </c>
      <c r="C484" s="213" t="s">
        <v>19</v>
      </c>
      <c r="D484" s="83">
        <v>230</v>
      </c>
      <c r="E484" s="280">
        <v>5705616</v>
      </c>
      <c r="F484" s="280">
        <v>5667416</v>
      </c>
      <c r="G484" s="191" t="s">
        <v>140</v>
      </c>
      <c r="H484" s="292">
        <v>38200</v>
      </c>
      <c r="I484" s="292">
        <v>173</v>
      </c>
      <c r="J484" s="292">
        <v>173</v>
      </c>
      <c r="K484" s="292">
        <v>0</v>
      </c>
      <c r="L484" s="292">
        <v>38200</v>
      </c>
    </row>
    <row r="485" spans="1:12" ht="15" customHeight="1" x14ac:dyDescent="0.25">
      <c r="A485" s="83" t="s">
        <v>343</v>
      </c>
      <c r="B485" s="213" t="s">
        <v>475</v>
      </c>
      <c r="C485" s="213" t="s">
        <v>476</v>
      </c>
      <c r="D485" s="83">
        <v>148</v>
      </c>
      <c r="E485" s="280">
        <v>199869</v>
      </c>
      <c r="F485" s="280">
        <v>7800</v>
      </c>
      <c r="G485" s="191" t="s">
        <v>140</v>
      </c>
      <c r="H485" s="292">
        <v>192069</v>
      </c>
      <c r="I485" s="292">
        <v>0</v>
      </c>
      <c r="J485" s="292">
        <v>0</v>
      </c>
      <c r="K485" s="292">
        <v>0</v>
      </c>
      <c r="L485" s="292">
        <v>192069</v>
      </c>
    </row>
    <row r="486" spans="1:12" x14ac:dyDescent="0.25">
      <c r="A486" s="83" t="s">
        <v>343</v>
      </c>
      <c r="B486" s="213" t="s">
        <v>81</v>
      </c>
      <c r="C486" s="213" t="s">
        <v>22</v>
      </c>
      <c r="D486" s="83">
        <v>153</v>
      </c>
      <c r="E486" s="280">
        <v>4394453</v>
      </c>
      <c r="F486" s="280">
        <v>4276983</v>
      </c>
      <c r="G486" s="191" t="s">
        <v>140</v>
      </c>
      <c r="H486" s="292">
        <v>117470</v>
      </c>
      <c r="I486" s="292">
        <v>0</v>
      </c>
      <c r="J486" s="292">
        <v>0</v>
      </c>
      <c r="K486" s="292">
        <v>0</v>
      </c>
      <c r="L486" s="292">
        <v>117470</v>
      </c>
    </row>
    <row r="487" spans="1:12" x14ac:dyDescent="0.25">
      <c r="A487" s="83" t="s">
        <v>343</v>
      </c>
      <c r="B487" s="213" t="s">
        <v>457</v>
      </c>
      <c r="C487" s="213" t="s">
        <v>458</v>
      </c>
      <c r="D487" s="83">
        <v>155</v>
      </c>
      <c r="E487" s="280">
        <v>1071881</v>
      </c>
      <c r="F487" s="280">
        <v>1019256</v>
      </c>
      <c r="G487" s="191" t="s">
        <v>140</v>
      </c>
      <c r="H487" s="292">
        <v>52625</v>
      </c>
      <c r="I487" s="292">
        <v>0</v>
      </c>
      <c r="J487" s="292">
        <v>0</v>
      </c>
      <c r="K487" s="292">
        <v>0</v>
      </c>
      <c r="L487" s="292">
        <v>52625</v>
      </c>
    </row>
    <row r="488" spans="1:12" x14ac:dyDescent="0.25">
      <c r="A488" s="83" t="s">
        <v>343</v>
      </c>
      <c r="B488" s="213" t="s">
        <v>338</v>
      </c>
      <c r="C488" s="213" t="s">
        <v>339</v>
      </c>
      <c r="D488" s="83">
        <v>42</v>
      </c>
      <c r="E488" s="280">
        <v>16547869</v>
      </c>
      <c r="F488" s="280">
        <v>13812414</v>
      </c>
      <c r="G488" s="191" t="s">
        <v>140</v>
      </c>
      <c r="H488" s="292">
        <v>2735455</v>
      </c>
      <c r="I488" s="292">
        <v>5</v>
      </c>
      <c r="J488" s="292">
        <v>1</v>
      </c>
      <c r="K488" s="292">
        <v>4</v>
      </c>
      <c r="L488" s="292">
        <v>2735451</v>
      </c>
    </row>
    <row r="489" spans="1:12" x14ac:dyDescent="0.25">
      <c r="A489" s="83" t="s">
        <v>343</v>
      </c>
      <c r="B489" s="213" t="s">
        <v>83</v>
      </c>
      <c r="C489" s="213" t="s">
        <v>17</v>
      </c>
      <c r="D489" s="83">
        <v>48</v>
      </c>
      <c r="E489" s="280">
        <v>18493781</v>
      </c>
      <c r="F489" s="280">
        <v>16223313</v>
      </c>
      <c r="G489" s="191" t="s">
        <v>140</v>
      </c>
      <c r="H489" s="292">
        <v>2270468</v>
      </c>
      <c r="I489" s="292">
        <v>0</v>
      </c>
      <c r="J489" s="292">
        <v>0</v>
      </c>
      <c r="K489" s="292">
        <v>0</v>
      </c>
      <c r="L489" s="292">
        <v>2270468</v>
      </c>
    </row>
    <row r="490" spans="1:12" x14ac:dyDescent="0.25">
      <c r="A490" s="83" t="s">
        <v>343</v>
      </c>
      <c r="B490" s="213" t="s">
        <v>326</v>
      </c>
      <c r="C490" s="213" t="s">
        <v>327</v>
      </c>
      <c r="D490" s="83">
        <v>218</v>
      </c>
      <c r="E490" s="280">
        <v>3729137</v>
      </c>
      <c r="F490" s="280">
        <v>2850496</v>
      </c>
      <c r="G490" s="191" t="s">
        <v>140</v>
      </c>
      <c r="H490" s="292">
        <v>878641</v>
      </c>
      <c r="I490" s="292">
        <v>0</v>
      </c>
      <c r="J490" s="292">
        <v>0</v>
      </c>
      <c r="K490" s="292">
        <v>0</v>
      </c>
      <c r="L490" s="292">
        <v>878641</v>
      </c>
    </row>
    <row r="491" spans="1:12" x14ac:dyDescent="0.25">
      <c r="A491" s="83" t="s">
        <v>343</v>
      </c>
      <c r="B491" s="213" t="s">
        <v>84</v>
      </c>
      <c r="C491" s="213" t="s">
        <v>24</v>
      </c>
      <c r="D491" s="83">
        <v>350</v>
      </c>
      <c r="E491" s="280">
        <v>66447</v>
      </c>
      <c r="F491" s="280">
        <v>54751</v>
      </c>
      <c r="G491" s="191" t="s">
        <v>140</v>
      </c>
      <c r="H491" s="292">
        <v>11696</v>
      </c>
      <c r="I491" s="292">
        <v>0</v>
      </c>
      <c r="J491" s="292">
        <v>0</v>
      </c>
      <c r="K491" s="292">
        <v>0</v>
      </c>
      <c r="L491" s="292">
        <v>11696</v>
      </c>
    </row>
    <row r="492" spans="1:12" x14ac:dyDescent="0.25">
      <c r="A492" s="83" t="s">
        <v>343</v>
      </c>
      <c r="B492" s="213" t="s">
        <v>496</v>
      </c>
      <c r="C492" s="213" t="s">
        <v>497</v>
      </c>
      <c r="D492" s="83">
        <v>304</v>
      </c>
      <c r="E492" s="280">
        <v>22223</v>
      </c>
      <c r="F492" s="280">
        <v>5219</v>
      </c>
      <c r="G492" s="191" t="s">
        <v>140</v>
      </c>
      <c r="H492" s="292">
        <v>17004</v>
      </c>
      <c r="I492" s="292">
        <v>0</v>
      </c>
      <c r="J492" s="292">
        <v>0</v>
      </c>
      <c r="K492" s="292">
        <v>0</v>
      </c>
      <c r="L492" s="292">
        <v>17004</v>
      </c>
    </row>
    <row r="493" spans="1:12" ht="45.75" x14ac:dyDescent="0.25">
      <c r="A493" s="83" t="s">
        <v>343</v>
      </c>
      <c r="B493" s="213" t="s">
        <v>498</v>
      </c>
      <c r="C493" s="213" t="s">
        <v>499</v>
      </c>
      <c r="D493" s="83">
        <v>329</v>
      </c>
      <c r="E493" s="280">
        <v>1446214</v>
      </c>
      <c r="F493" s="280">
        <v>1118940</v>
      </c>
      <c r="G493" s="191" t="s">
        <v>140</v>
      </c>
      <c r="H493" s="292">
        <v>327274</v>
      </c>
      <c r="I493" s="292">
        <v>0</v>
      </c>
      <c r="J493" s="292">
        <v>0</v>
      </c>
      <c r="K493" s="292">
        <v>0</v>
      </c>
      <c r="L493" s="292">
        <v>327274</v>
      </c>
    </row>
    <row r="494" spans="1:12" ht="30.75" x14ac:dyDescent="0.25">
      <c r="A494" s="83" t="s">
        <v>343</v>
      </c>
      <c r="B494" s="213" t="s">
        <v>466</v>
      </c>
      <c r="C494" s="213" t="s">
        <v>467</v>
      </c>
      <c r="D494" s="83">
        <v>261</v>
      </c>
      <c r="E494" s="280">
        <v>906604</v>
      </c>
      <c r="F494" s="280">
        <v>899722</v>
      </c>
      <c r="G494" s="191" t="s">
        <v>140</v>
      </c>
      <c r="H494" s="292">
        <v>6882</v>
      </c>
      <c r="I494" s="292">
        <v>0</v>
      </c>
      <c r="J494" s="292">
        <v>0</v>
      </c>
      <c r="K494" s="292">
        <v>0</v>
      </c>
      <c r="L494" s="292">
        <v>6882</v>
      </c>
    </row>
    <row r="495" spans="1:12" ht="15" customHeight="1" x14ac:dyDescent="0.25">
      <c r="A495" s="83" t="s">
        <v>343</v>
      </c>
      <c r="B495" s="213" t="s">
        <v>461</v>
      </c>
      <c r="C495" s="213" t="s">
        <v>25</v>
      </c>
      <c r="D495" s="83">
        <v>244</v>
      </c>
      <c r="E495" s="280">
        <v>2764503</v>
      </c>
      <c r="F495" s="280">
        <v>2710687</v>
      </c>
      <c r="G495" s="191" t="s">
        <v>140</v>
      </c>
      <c r="H495" s="292">
        <v>53816</v>
      </c>
      <c r="I495" s="292">
        <v>0</v>
      </c>
      <c r="J495" s="292">
        <v>0</v>
      </c>
      <c r="K495" s="292">
        <v>0</v>
      </c>
      <c r="L495" s="292">
        <v>53816</v>
      </c>
    </row>
    <row r="496" spans="1:12" ht="15" customHeight="1" x14ac:dyDescent="0.25">
      <c r="A496" s="83" t="s">
        <v>343</v>
      </c>
      <c r="B496" s="213" t="s">
        <v>511</v>
      </c>
      <c r="C496" s="213" t="s">
        <v>512</v>
      </c>
      <c r="D496" s="83">
        <v>182</v>
      </c>
      <c r="E496" s="280">
        <v>113910</v>
      </c>
      <c r="F496" s="280">
        <v>97651</v>
      </c>
      <c r="G496" s="191" t="s">
        <v>140</v>
      </c>
      <c r="H496" s="292">
        <v>16259</v>
      </c>
      <c r="I496" s="292">
        <v>19</v>
      </c>
      <c r="J496" s="292">
        <v>19</v>
      </c>
      <c r="K496" s="292">
        <v>0</v>
      </c>
      <c r="L496" s="292">
        <v>16259</v>
      </c>
    </row>
    <row r="497" spans="1:12" ht="15" customHeight="1" x14ac:dyDescent="0.25">
      <c r="A497" s="83" t="s">
        <v>343</v>
      </c>
      <c r="B497" s="213" t="s">
        <v>477</v>
      </c>
      <c r="C497" s="213" t="s">
        <v>17</v>
      </c>
      <c r="D497" s="83">
        <v>280</v>
      </c>
      <c r="E497" s="280">
        <v>118719</v>
      </c>
      <c r="F497" s="280">
        <v>82734</v>
      </c>
      <c r="G497" s="191" t="s">
        <v>140</v>
      </c>
      <c r="H497" s="292">
        <v>35985</v>
      </c>
      <c r="I497" s="292">
        <v>0</v>
      </c>
      <c r="J497" s="292">
        <v>0</v>
      </c>
      <c r="K497" s="292">
        <v>0</v>
      </c>
      <c r="L497" s="292">
        <v>35985</v>
      </c>
    </row>
    <row r="498" spans="1:12" ht="30.75" x14ac:dyDescent="0.25">
      <c r="A498" s="83" t="s">
        <v>343</v>
      </c>
      <c r="B498" s="213" t="s">
        <v>500</v>
      </c>
      <c r="C498" s="213" t="s">
        <v>11</v>
      </c>
      <c r="D498" s="83">
        <v>176</v>
      </c>
      <c r="E498" s="280">
        <v>5591939</v>
      </c>
      <c r="F498" s="280">
        <v>5576654</v>
      </c>
      <c r="G498" s="191" t="s">
        <v>140</v>
      </c>
      <c r="H498" s="292">
        <v>15285</v>
      </c>
      <c r="I498" s="292">
        <v>30395</v>
      </c>
      <c r="J498" s="292">
        <v>0</v>
      </c>
      <c r="K498" s="292">
        <v>30395</v>
      </c>
      <c r="L498" s="292">
        <v>-15110</v>
      </c>
    </row>
    <row r="499" spans="1:12" x14ac:dyDescent="0.25">
      <c r="A499" s="83" t="s">
        <v>343</v>
      </c>
      <c r="B499" s="213" t="s">
        <v>507</v>
      </c>
      <c r="C499" s="213" t="s">
        <v>508</v>
      </c>
      <c r="D499" s="83">
        <v>57</v>
      </c>
      <c r="E499" s="280">
        <v>973526</v>
      </c>
      <c r="F499" s="280">
        <v>729055</v>
      </c>
      <c r="G499" s="191" t="s">
        <v>140</v>
      </c>
      <c r="H499" s="292">
        <v>244471</v>
      </c>
      <c r="I499" s="292">
        <v>0</v>
      </c>
      <c r="J499" s="292">
        <v>0</v>
      </c>
      <c r="K499" s="292">
        <v>0</v>
      </c>
      <c r="L499" s="292">
        <v>244471</v>
      </c>
    </row>
    <row r="500" spans="1:12" x14ac:dyDescent="0.25">
      <c r="A500" s="83" t="s">
        <v>343</v>
      </c>
      <c r="B500" s="213" t="s">
        <v>85</v>
      </c>
      <c r="C500" s="213" t="s">
        <v>26</v>
      </c>
      <c r="D500" s="83">
        <v>171</v>
      </c>
      <c r="E500" s="280">
        <v>2358194</v>
      </c>
      <c r="F500" s="280">
        <v>2024268</v>
      </c>
      <c r="G500" s="191" t="s">
        <v>140</v>
      </c>
      <c r="H500" s="292">
        <v>333926</v>
      </c>
      <c r="I500" s="292">
        <v>0</v>
      </c>
      <c r="J500" s="292">
        <v>0</v>
      </c>
      <c r="K500" s="292">
        <v>0</v>
      </c>
      <c r="L500" s="292">
        <v>333926</v>
      </c>
    </row>
    <row r="501" spans="1:12" ht="30.75" x14ac:dyDescent="0.25">
      <c r="A501" s="83" t="s">
        <v>343</v>
      </c>
      <c r="B501" s="213" t="s">
        <v>86</v>
      </c>
      <c r="C501" s="213" t="s">
        <v>25</v>
      </c>
      <c r="D501" s="83">
        <v>258</v>
      </c>
      <c r="E501" s="280">
        <v>3461835</v>
      </c>
      <c r="F501" s="280">
        <v>3265219</v>
      </c>
      <c r="G501" s="191" t="s">
        <v>140</v>
      </c>
      <c r="H501" s="292">
        <v>196616</v>
      </c>
      <c r="I501" s="292">
        <v>0</v>
      </c>
      <c r="J501" s="292">
        <v>0</v>
      </c>
      <c r="K501" s="292">
        <v>0</v>
      </c>
      <c r="L501" s="292">
        <v>196616</v>
      </c>
    </row>
    <row r="502" spans="1:12" x14ac:dyDescent="0.25">
      <c r="A502" s="83" t="s">
        <v>343</v>
      </c>
      <c r="B502" s="213" t="s">
        <v>509</v>
      </c>
      <c r="C502" s="213" t="s">
        <v>510</v>
      </c>
      <c r="D502" s="83">
        <v>58</v>
      </c>
      <c r="E502" s="280">
        <v>3292644</v>
      </c>
      <c r="F502" s="280">
        <v>3008770</v>
      </c>
      <c r="G502" s="191" t="s">
        <v>140</v>
      </c>
      <c r="H502" s="292">
        <v>283874</v>
      </c>
      <c r="I502" s="292">
        <v>0</v>
      </c>
      <c r="J502" s="292">
        <v>0</v>
      </c>
      <c r="K502" s="292">
        <v>0</v>
      </c>
      <c r="L502" s="292">
        <v>283874</v>
      </c>
    </row>
    <row r="503" spans="1:12" x14ac:dyDescent="0.25">
      <c r="A503" s="83" t="s">
        <v>343</v>
      </c>
      <c r="B503" s="213" t="s">
        <v>480</v>
      </c>
      <c r="C503" s="213" t="s">
        <v>481</v>
      </c>
      <c r="D503" s="83">
        <v>308</v>
      </c>
      <c r="E503" s="280">
        <v>224162</v>
      </c>
      <c r="F503" s="280">
        <v>116098</v>
      </c>
      <c r="G503" s="191" t="s">
        <v>140</v>
      </c>
      <c r="H503" s="292">
        <v>108064</v>
      </c>
      <c r="I503" s="292">
        <v>0</v>
      </c>
      <c r="J503" s="292">
        <v>0</v>
      </c>
      <c r="K503" s="292">
        <v>0</v>
      </c>
      <c r="L503" s="292">
        <v>108064</v>
      </c>
    </row>
    <row r="504" spans="1:12" x14ac:dyDescent="0.25">
      <c r="A504" s="83" t="s">
        <v>343</v>
      </c>
      <c r="B504" s="213" t="s">
        <v>87</v>
      </c>
      <c r="C504" s="213" t="s">
        <v>17</v>
      </c>
      <c r="D504" s="83">
        <v>260</v>
      </c>
      <c r="E504" s="280">
        <v>19111083</v>
      </c>
      <c r="F504" s="280">
        <v>18993790</v>
      </c>
      <c r="G504" s="191" t="s">
        <v>140</v>
      </c>
      <c r="H504" s="292">
        <v>117293</v>
      </c>
      <c r="I504" s="292">
        <v>670053</v>
      </c>
      <c r="J504" s="292">
        <v>20116</v>
      </c>
      <c r="K504" s="292">
        <v>649937</v>
      </c>
      <c r="L504" s="292">
        <v>-532644</v>
      </c>
    </row>
    <row r="505" spans="1:12" x14ac:dyDescent="0.25">
      <c r="A505" s="83" t="s">
        <v>343</v>
      </c>
      <c r="B505" s="213" t="s">
        <v>462</v>
      </c>
      <c r="C505" s="213" t="s">
        <v>463</v>
      </c>
      <c r="D505" s="83">
        <v>346</v>
      </c>
      <c r="E505" s="280">
        <v>49140</v>
      </c>
      <c r="F505" s="280">
        <v>42386</v>
      </c>
      <c r="G505" s="191" t="s">
        <v>140</v>
      </c>
      <c r="H505" s="292">
        <v>6754</v>
      </c>
      <c r="I505" s="292">
        <v>0</v>
      </c>
      <c r="J505" s="292">
        <v>0</v>
      </c>
      <c r="K505" s="292">
        <v>0</v>
      </c>
      <c r="L505" s="292">
        <v>6754</v>
      </c>
    </row>
    <row r="506" spans="1:12" x14ac:dyDescent="0.25">
      <c r="A506" s="83" t="s">
        <v>343</v>
      </c>
      <c r="B506" s="213" t="s">
        <v>89</v>
      </c>
      <c r="C506" s="213" t="s">
        <v>28</v>
      </c>
      <c r="D506" s="83">
        <v>351</v>
      </c>
      <c r="E506" s="280">
        <v>99653</v>
      </c>
      <c r="F506" s="280">
        <v>89104</v>
      </c>
      <c r="G506" s="191" t="s">
        <v>140</v>
      </c>
      <c r="H506" s="292">
        <v>10549</v>
      </c>
      <c r="I506" s="292">
        <v>0</v>
      </c>
      <c r="J506" s="292">
        <v>0</v>
      </c>
      <c r="K506" s="292">
        <v>0</v>
      </c>
      <c r="L506" s="292">
        <v>10549</v>
      </c>
    </row>
    <row r="507" spans="1:12" ht="15.75" customHeight="1" x14ac:dyDescent="0.25">
      <c r="A507" s="202" t="s">
        <v>378</v>
      </c>
      <c r="B507" s="218" t="s">
        <v>140</v>
      </c>
      <c r="C507" s="218" t="s">
        <v>140</v>
      </c>
      <c r="D507" s="218" t="s">
        <v>140</v>
      </c>
      <c r="E507" s="244">
        <f>SUBTOTAL(109,school200910[Program
Costs])</f>
        <v>470276090</v>
      </c>
      <c r="F507" s="244">
        <f>SUBTOTAL(109,school200910[Less: Net Payments and Offsets2])</f>
        <v>363490392</v>
      </c>
      <c r="G507" s="218" t="s">
        <v>140</v>
      </c>
      <c r="H507" s="244">
        <f>SUBTOTAL(109,school200910[Accounts Payable
Balance])</f>
        <v>106785698</v>
      </c>
      <c r="I507" s="244">
        <f>SUBTOTAL(109,school200910[Established
Accounts Receivable])</f>
        <v>740238</v>
      </c>
      <c r="J507" s="244">
        <f>SUBTOTAL(109,school200910[Less: Recovered Amount])</f>
        <v>33523</v>
      </c>
      <c r="K507" s="244">
        <f>SUBTOTAL(109,school200910[Accounts Receivable
Balance])</f>
        <v>706715</v>
      </c>
      <c r="L507" s="244">
        <f>SUBTOTAL(109,school200910[Net
Balance])</f>
        <v>106078983</v>
      </c>
    </row>
    <row r="508" spans="1:12" x14ac:dyDescent="0.25">
      <c r="A508" s="195" t="s">
        <v>141</v>
      </c>
      <c r="B508" s="142"/>
      <c r="C508" s="142"/>
      <c r="D508" s="142"/>
      <c r="E508" s="26"/>
      <c r="F508" s="26"/>
      <c r="G508" s="196"/>
      <c r="H508" s="26"/>
      <c r="I508" s="26"/>
      <c r="J508" s="26"/>
      <c r="K508" s="26"/>
      <c r="L508" s="26"/>
    </row>
    <row r="509" spans="1:12" ht="50.1" customHeight="1" x14ac:dyDescent="0.25">
      <c r="A509" s="10" t="s">
        <v>5</v>
      </c>
      <c r="B509" s="10" t="s">
        <v>6</v>
      </c>
      <c r="C509" s="10" t="s">
        <v>0</v>
      </c>
      <c r="D509" s="10" t="s">
        <v>441</v>
      </c>
      <c r="E509" s="215" t="s">
        <v>234</v>
      </c>
      <c r="F509" s="216" t="s">
        <v>452</v>
      </c>
      <c r="G509" s="217" t="s">
        <v>142</v>
      </c>
      <c r="H509" s="215" t="s">
        <v>444</v>
      </c>
      <c r="I509" s="215" t="s">
        <v>445</v>
      </c>
      <c r="J509" s="215" t="s">
        <v>446</v>
      </c>
      <c r="K509" s="215" t="s">
        <v>447</v>
      </c>
      <c r="L509" s="215" t="s">
        <v>305</v>
      </c>
    </row>
    <row r="510" spans="1:12" x14ac:dyDescent="0.25">
      <c r="A510" s="83" t="s">
        <v>379</v>
      </c>
      <c r="B510" s="213" t="s">
        <v>468</v>
      </c>
      <c r="C510" s="213" t="s">
        <v>469</v>
      </c>
      <c r="D510" s="83">
        <v>305</v>
      </c>
      <c r="E510" s="280">
        <v>125080</v>
      </c>
      <c r="F510" s="280">
        <v>102415</v>
      </c>
      <c r="G510" s="191" t="s">
        <v>140</v>
      </c>
      <c r="H510" s="292">
        <v>22665</v>
      </c>
      <c r="I510" s="292">
        <v>0</v>
      </c>
      <c r="J510" s="292">
        <v>0</v>
      </c>
      <c r="K510" s="292">
        <v>0</v>
      </c>
      <c r="L510" s="292">
        <v>22665</v>
      </c>
    </row>
    <row r="511" spans="1:12" ht="30.75" x14ac:dyDescent="0.25">
      <c r="A511" s="83" t="s">
        <v>379</v>
      </c>
      <c r="B511" s="213" t="s">
        <v>66</v>
      </c>
      <c r="C511" s="213" t="s">
        <v>7</v>
      </c>
      <c r="D511" s="83">
        <v>250</v>
      </c>
      <c r="E511" s="280">
        <v>1583086</v>
      </c>
      <c r="F511" s="280">
        <v>1583086</v>
      </c>
      <c r="G511" s="191" t="s">
        <v>140</v>
      </c>
      <c r="H511" s="292">
        <v>0</v>
      </c>
      <c r="I511" s="292">
        <v>5161</v>
      </c>
      <c r="J511" s="292">
        <v>4112</v>
      </c>
      <c r="K511" s="292">
        <v>1049</v>
      </c>
      <c r="L511" s="292">
        <v>-1049</v>
      </c>
    </row>
    <row r="512" spans="1:12" ht="30.75" x14ac:dyDescent="0.25">
      <c r="A512" s="83" t="s">
        <v>379</v>
      </c>
      <c r="B512" s="213" t="s">
        <v>495</v>
      </c>
      <c r="C512" s="213" t="s">
        <v>490</v>
      </c>
      <c r="D512" s="83">
        <v>348</v>
      </c>
      <c r="E512" s="280">
        <v>54920146</v>
      </c>
      <c r="F512" s="280">
        <v>44829887</v>
      </c>
      <c r="G512" s="191" t="s">
        <v>140</v>
      </c>
      <c r="H512" s="292">
        <v>10090259</v>
      </c>
      <c r="I512" s="292">
        <v>0</v>
      </c>
      <c r="J512" s="292">
        <v>0</v>
      </c>
      <c r="K512" s="292">
        <v>0</v>
      </c>
      <c r="L512" s="292">
        <v>10090259</v>
      </c>
    </row>
    <row r="513" spans="1:12" x14ac:dyDescent="0.25">
      <c r="A513" s="83" t="s">
        <v>379</v>
      </c>
      <c r="B513" s="213" t="s">
        <v>482</v>
      </c>
      <c r="C513" s="213" t="s">
        <v>335</v>
      </c>
      <c r="D513" s="83">
        <v>354</v>
      </c>
      <c r="E513" s="280">
        <v>34650</v>
      </c>
      <c r="F513" s="280">
        <v>24641</v>
      </c>
      <c r="G513" s="191" t="s">
        <v>140</v>
      </c>
      <c r="H513" s="292">
        <v>10009</v>
      </c>
      <c r="I513" s="292">
        <v>0</v>
      </c>
      <c r="J513" s="292">
        <v>0</v>
      </c>
      <c r="K513" s="292">
        <v>0</v>
      </c>
      <c r="L513" s="292">
        <v>10009</v>
      </c>
    </row>
    <row r="514" spans="1:12" ht="30.75" x14ac:dyDescent="0.25">
      <c r="A514" s="83" t="s">
        <v>379</v>
      </c>
      <c r="B514" s="213" t="s">
        <v>483</v>
      </c>
      <c r="C514" s="213" t="s">
        <v>484</v>
      </c>
      <c r="D514" s="83">
        <v>286</v>
      </c>
      <c r="E514" s="280">
        <v>103369</v>
      </c>
      <c r="F514" s="280">
        <v>99494</v>
      </c>
      <c r="G514" s="191" t="s">
        <v>140</v>
      </c>
      <c r="H514" s="292">
        <v>3875</v>
      </c>
      <c r="I514" s="292">
        <v>0</v>
      </c>
      <c r="J514" s="292">
        <v>0</v>
      </c>
      <c r="K514" s="292">
        <v>0</v>
      </c>
      <c r="L514" s="292">
        <v>3875</v>
      </c>
    </row>
    <row r="515" spans="1:12" ht="30.75" x14ac:dyDescent="0.25">
      <c r="A515" s="83" t="s">
        <v>379</v>
      </c>
      <c r="B515" s="213" t="s">
        <v>69</v>
      </c>
      <c r="C515" s="213" t="s">
        <v>10</v>
      </c>
      <c r="D515" s="83">
        <v>172</v>
      </c>
      <c r="E515" s="280">
        <v>614283</v>
      </c>
      <c r="F515" s="280">
        <v>610927</v>
      </c>
      <c r="G515" s="191" t="s">
        <v>140</v>
      </c>
      <c r="H515" s="292">
        <v>3356</v>
      </c>
      <c r="I515" s="292">
        <v>1120</v>
      </c>
      <c r="J515" s="292">
        <v>1120</v>
      </c>
      <c r="K515" s="292">
        <v>0</v>
      </c>
      <c r="L515" s="292">
        <v>3356</v>
      </c>
    </row>
    <row r="516" spans="1:12" x14ac:dyDescent="0.25">
      <c r="A516" s="83" t="s">
        <v>379</v>
      </c>
      <c r="B516" s="213" t="s">
        <v>464</v>
      </c>
      <c r="C516" s="213" t="s">
        <v>465</v>
      </c>
      <c r="D516" s="83">
        <v>278</v>
      </c>
      <c r="E516" s="280">
        <v>1771291</v>
      </c>
      <c r="F516" s="280">
        <v>1699854</v>
      </c>
      <c r="G516" s="191" t="s">
        <v>140</v>
      </c>
      <c r="H516" s="292">
        <v>71437</v>
      </c>
      <c r="I516" s="292">
        <v>0</v>
      </c>
      <c r="J516" s="292">
        <v>0</v>
      </c>
      <c r="K516" s="292">
        <v>0</v>
      </c>
      <c r="L516" s="292">
        <v>71437</v>
      </c>
    </row>
    <row r="517" spans="1:12" ht="30.75" x14ac:dyDescent="0.25">
      <c r="A517" s="83" t="s">
        <v>379</v>
      </c>
      <c r="B517" s="213" t="s">
        <v>72</v>
      </c>
      <c r="C517" s="213" t="s">
        <v>13</v>
      </c>
      <c r="D517" s="83">
        <v>11</v>
      </c>
      <c r="E517" s="280">
        <v>20470340</v>
      </c>
      <c r="F517" s="280">
        <v>17977474</v>
      </c>
      <c r="G517" s="191" t="s">
        <v>140</v>
      </c>
      <c r="H517" s="292">
        <v>2492866</v>
      </c>
      <c r="I517" s="292">
        <v>26683</v>
      </c>
      <c r="J517" s="292">
        <v>12350</v>
      </c>
      <c r="K517" s="292">
        <v>14333</v>
      </c>
      <c r="L517" s="292">
        <v>2478533</v>
      </c>
    </row>
    <row r="518" spans="1:12" x14ac:dyDescent="0.25">
      <c r="A518" s="83" t="s">
        <v>379</v>
      </c>
      <c r="B518" s="213" t="s">
        <v>513</v>
      </c>
      <c r="C518" s="213" t="s">
        <v>14</v>
      </c>
      <c r="D518" s="83">
        <v>223</v>
      </c>
      <c r="E518" s="280">
        <v>4144990</v>
      </c>
      <c r="F518" s="280">
        <v>4098250</v>
      </c>
      <c r="G518" s="191" t="s">
        <v>140</v>
      </c>
      <c r="H518" s="292">
        <v>46740</v>
      </c>
      <c r="I518" s="292">
        <v>7808</v>
      </c>
      <c r="J518" s="292">
        <v>5918</v>
      </c>
      <c r="K518" s="292">
        <v>1890</v>
      </c>
      <c r="L518" s="292">
        <v>44850</v>
      </c>
    </row>
    <row r="519" spans="1:12" ht="45.75" x14ac:dyDescent="0.25">
      <c r="A519" s="83" t="s">
        <v>379</v>
      </c>
      <c r="B519" s="213" t="s">
        <v>67</v>
      </c>
      <c r="C519" s="213" t="s">
        <v>8</v>
      </c>
      <c r="D519" s="83">
        <v>272</v>
      </c>
      <c r="E519" s="280">
        <v>10105872</v>
      </c>
      <c r="F519" s="280">
        <v>10100035</v>
      </c>
      <c r="G519" s="191" t="s">
        <v>140</v>
      </c>
      <c r="H519" s="292">
        <v>5837</v>
      </c>
      <c r="I519" s="292">
        <v>865406</v>
      </c>
      <c r="J519" s="292">
        <v>11587</v>
      </c>
      <c r="K519" s="292">
        <v>853819</v>
      </c>
      <c r="L519" s="292">
        <v>-847982</v>
      </c>
    </row>
    <row r="520" spans="1:12" ht="45.75" x14ac:dyDescent="0.25">
      <c r="A520" s="83" t="s">
        <v>379</v>
      </c>
      <c r="B520" s="213" t="s">
        <v>82</v>
      </c>
      <c r="C520" s="213" t="s">
        <v>23</v>
      </c>
      <c r="D520" s="83">
        <v>276</v>
      </c>
      <c r="E520" s="280">
        <v>891533</v>
      </c>
      <c r="F520" s="280">
        <v>649528</v>
      </c>
      <c r="G520" s="191" t="s">
        <v>140</v>
      </c>
      <c r="H520" s="292">
        <v>242005</v>
      </c>
      <c r="I520" s="292">
        <v>0</v>
      </c>
      <c r="J520" s="292">
        <v>0</v>
      </c>
      <c r="K520" s="292">
        <v>0</v>
      </c>
      <c r="L520" s="292">
        <v>242005</v>
      </c>
    </row>
    <row r="521" spans="1:12" ht="75.75" x14ac:dyDescent="0.25">
      <c r="A521" s="83" t="s">
        <v>379</v>
      </c>
      <c r="B521" s="213" t="s">
        <v>448</v>
      </c>
      <c r="C521" s="213" t="s">
        <v>449</v>
      </c>
      <c r="D521" s="83">
        <v>292</v>
      </c>
      <c r="E521" s="280">
        <v>8511879</v>
      </c>
      <c r="F521" s="280">
        <v>8403076</v>
      </c>
      <c r="G521" s="191" t="s">
        <v>140</v>
      </c>
      <c r="H521" s="292">
        <v>108803</v>
      </c>
      <c r="I521" s="292">
        <v>2076</v>
      </c>
      <c r="J521" s="292">
        <v>0</v>
      </c>
      <c r="K521" s="292">
        <v>2076</v>
      </c>
      <c r="L521" s="292">
        <v>106727</v>
      </c>
    </row>
    <row r="522" spans="1:12" ht="30.75" x14ac:dyDescent="0.25">
      <c r="A522" s="83" t="s">
        <v>379</v>
      </c>
      <c r="B522" s="213" t="s">
        <v>71</v>
      </c>
      <c r="C522" s="213" t="s">
        <v>12</v>
      </c>
      <c r="D522" s="83">
        <v>209</v>
      </c>
      <c r="E522" s="280">
        <v>346268</v>
      </c>
      <c r="F522" s="280">
        <v>326021</v>
      </c>
      <c r="G522" s="191" t="s">
        <v>140</v>
      </c>
      <c r="H522" s="292">
        <v>20247</v>
      </c>
      <c r="I522" s="292">
        <v>0</v>
      </c>
      <c r="J522" s="292">
        <v>0</v>
      </c>
      <c r="K522" s="292">
        <v>0</v>
      </c>
      <c r="L522" s="292">
        <v>20247</v>
      </c>
    </row>
    <row r="523" spans="1:12" x14ac:dyDescent="0.25">
      <c r="A523" s="83" t="s">
        <v>379</v>
      </c>
      <c r="B523" s="213" t="s">
        <v>74</v>
      </c>
      <c r="C523" s="213" t="s">
        <v>15</v>
      </c>
      <c r="D523" s="83">
        <v>183</v>
      </c>
      <c r="E523" s="280">
        <v>697267</v>
      </c>
      <c r="F523" s="280">
        <v>693095</v>
      </c>
      <c r="G523" s="191" t="s">
        <v>140</v>
      </c>
      <c r="H523" s="292">
        <v>4172</v>
      </c>
      <c r="I523" s="292">
        <v>825</v>
      </c>
      <c r="J523" s="292">
        <v>825</v>
      </c>
      <c r="K523" s="292">
        <v>0</v>
      </c>
      <c r="L523" s="292">
        <v>4172</v>
      </c>
    </row>
    <row r="524" spans="1:12" x14ac:dyDescent="0.25">
      <c r="A524" s="83" t="s">
        <v>379</v>
      </c>
      <c r="B524" s="213" t="s">
        <v>455</v>
      </c>
      <c r="C524" s="213" t="s">
        <v>456</v>
      </c>
      <c r="D524" s="83">
        <v>251</v>
      </c>
      <c r="E524" s="280">
        <v>371430</v>
      </c>
      <c r="F524" s="280">
        <v>365323</v>
      </c>
      <c r="G524" s="191" t="s">
        <v>140</v>
      </c>
      <c r="H524" s="292">
        <v>6107</v>
      </c>
      <c r="I524" s="292">
        <v>1055</v>
      </c>
      <c r="J524" s="292">
        <v>0</v>
      </c>
      <c r="K524" s="292">
        <v>1055</v>
      </c>
      <c r="L524" s="292">
        <v>5052</v>
      </c>
    </row>
    <row r="525" spans="1:12" ht="15.75" customHeight="1" x14ac:dyDescent="0.25">
      <c r="A525" s="83" t="s">
        <v>379</v>
      </c>
      <c r="B525" s="213" t="s">
        <v>503</v>
      </c>
      <c r="C525" s="213" t="s">
        <v>504</v>
      </c>
      <c r="D525" s="83">
        <v>333</v>
      </c>
      <c r="E525" s="280">
        <v>34380</v>
      </c>
      <c r="F525" s="280">
        <v>31472</v>
      </c>
      <c r="G525" s="191" t="s">
        <v>140</v>
      </c>
      <c r="H525" s="292">
        <v>2908</v>
      </c>
      <c r="I525" s="292">
        <v>0</v>
      </c>
      <c r="J525" s="292">
        <v>0</v>
      </c>
      <c r="K525" s="292">
        <v>0</v>
      </c>
      <c r="L525" s="292">
        <v>2908</v>
      </c>
    </row>
    <row r="526" spans="1:12" ht="30.75" x14ac:dyDescent="0.25">
      <c r="A526" s="83" t="s">
        <v>379</v>
      </c>
      <c r="B526" s="213" t="s">
        <v>472</v>
      </c>
      <c r="C526" s="213" t="s">
        <v>11</v>
      </c>
      <c r="D526" s="83">
        <v>91</v>
      </c>
      <c r="E526" s="280">
        <v>13929</v>
      </c>
      <c r="F526" s="280">
        <v>10640</v>
      </c>
      <c r="G526" s="191" t="s">
        <v>140</v>
      </c>
      <c r="H526" s="292">
        <v>3289</v>
      </c>
      <c r="I526" s="292">
        <v>0</v>
      </c>
      <c r="J526" s="292">
        <v>0</v>
      </c>
      <c r="K526" s="292">
        <v>0</v>
      </c>
      <c r="L526" s="292">
        <v>3289</v>
      </c>
    </row>
    <row r="527" spans="1:12" x14ac:dyDescent="0.25">
      <c r="A527" s="83" t="s">
        <v>379</v>
      </c>
      <c r="B527" s="213" t="s">
        <v>75</v>
      </c>
      <c r="C527" s="213" t="s">
        <v>16</v>
      </c>
      <c r="D527" s="83">
        <v>192</v>
      </c>
      <c r="E527" s="280">
        <v>441304</v>
      </c>
      <c r="F527" s="280">
        <v>432014</v>
      </c>
      <c r="G527" s="191" t="s">
        <v>140</v>
      </c>
      <c r="H527" s="292">
        <v>9290</v>
      </c>
      <c r="I527" s="292">
        <v>2175</v>
      </c>
      <c r="J527" s="292">
        <v>0</v>
      </c>
      <c r="K527" s="292">
        <v>2175</v>
      </c>
      <c r="L527" s="292">
        <v>7115</v>
      </c>
    </row>
    <row r="528" spans="1:12" ht="30.75" x14ac:dyDescent="0.25">
      <c r="A528" s="83" t="s">
        <v>379</v>
      </c>
      <c r="B528" s="213" t="s">
        <v>76</v>
      </c>
      <c r="C528" s="213" t="s">
        <v>17</v>
      </c>
      <c r="D528" s="83">
        <v>297</v>
      </c>
      <c r="E528" s="280">
        <v>257106709</v>
      </c>
      <c r="F528" s="280">
        <v>181188759</v>
      </c>
      <c r="G528" s="191" t="s">
        <v>140</v>
      </c>
      <c r="H528" s="292">
        <v>75917950</v>
      </c>
      <c r="I528" s="292">
        <v>0</v>
      </c>
      <c r="J528" s="292">
        <v>0</v>
      </c>
      <c r="K528" s="292">
        <v>0</v>
      </c>
      <c r="L528" s="292">
        <v>75917950</v>
      </c>
    </row>
    <row r="529" spans="1:12" x14ac:dyDescent="0.25">
      <c r="A529" s="83" t="s">
        <v>379</v>
      </c>
      <c r="B529" s="213" t="s">
        <v>77</v>
      </c>
      <c r="C529" s="213" t="s">
        <v>18</v>
      </c>
      <c r="D529" s="83">
        <v>166</v>
      </c>
      <c r="E529" s="280">
        <v>8654726</v>
      </c>
      <c r="F529" s="280">
        <v>7222351</v>
      </c>
      <c r="G529" s="191" t="s">
        <v>140</v>
      </c>
      <c r="H529" s="292">
        <v>1432375</v>
      </c>
      <c r="I529" s="292">
        <v>1233</v>
      </c>
      <c r="J529" s="292">
        <v>0</v>
      </c>
      <c r="K529" s="292">
        <v>1233</v>
      </c>
      <c r="L529" s="292">
        <v>1431142</v>
      </c>
    </row>
    <row r="530" spans="1:12" x14ac:dyDescent="0.25">
      <c r="A530" s="83" t="s">
        <v>379</v>
      </c>
      <c r="B530" s="213" t="s">
        <v>473</v>
      </c>
      <c r="C530" s="213" t="s">
        <v>474</v>
      </c>
      <c r="D530" s="83">
        <v>268</v>
      </c>
      <c r="E530" s="280">
        <v>7741343</v>
      </c>
      <c r="F530" s="280">
        <v>6923752</v>
      </c>
      <c r="G530" s="191" t="s">
        <v>140</v>
      </c>
      <c r="H530" s="292">
        <v>817591</v>
      </c>
      <c r="I530" s="292">
        <v>0</v>
      </c>
      <c r="J530" s="292">
        <v>0</v>
      </c>
      <c r="K530" s="292">
        <v>0</v>
      </c>
      <c r="L530" s="292">
        <v>817591</v>
      </c>
    </row>
    <row r="531" spans="1:12" ht="15.75" customHeight="1" x14ac:dyDescent="0.25">
      <c r="A531" s="83" t="s">
        <v>379</v>
      </c>
      <c r="B531" s="213" t="s">
        <v>80</v>
      </c>
      <c r="C531" s="213" t="s">
        <v>21</v>
      </c>
      <c r="D531" s="83">
        <v>32</v>
      </c>
      <c r="E531" s="280">
        <v>4666144</v>
      </c>
      <c r="F531" s="280">
        <v>4664857</v>
      </c>
      <c r="G531" s="191" t="s">
        <v>140</v>
      </c>
      <c r="H531" s="292">
        <v>1287</v>
      </c>
      <c r="I531" s="292">
        <v>15736</v>
      </c>
      <c r="J531" s="292">
        <v>1126</v>
      </c>
      <c r="K531" s="292">
        <v>14610</v>
      </c>
      <c r="L531" s="292">
        <v>-13323</v>
      </c>
    </row>
    <row r="532" spans="1:12" x14ac:dyDescent="0.25">
      <c r="A532" s="83" t="s">
        <v>379</v>
      </c>
      <c r="B532" s="213" t="s">
        <v>491</v>
      </c>
      <c r="C532" s="213" t="s">
        <v>19</v>
      </c>
      <c r="D532" s="83">
        <v>230</v>
      </c>
      <c r="E532" s="280">
        <v>5705041</v>
      </c>
      <c r="F532" s="280">
        <v>5704156</v>
      </c>
      <c r="G532" s="191" t="s">
        <v>140</v>
      </c>
      <c r="H532" s="292">
        <v>885</v>
      </c>
      <c r="I532" s="292">
        <v>18091</v>
      </c>
      <c r="J532" s="292">
        <v>3366</v>
      </c>
      <c r="K532" s="292">
        <v>14725</v>
      </c>
      <c r="L532" s="292">
        <v>-13840</v>
      </c>
    </row>
    <row r="533" spans="1:12" x14ac:dyDescent="0.25">
      <c r="A533" s="83" t="s">
        <v>379</v>
      </c>
      <c r="B533" s="213" t="s">
        <v>475</v>
      </c>
      <c r="C533" s="213" t="s">
        <v>476</v>
      </c>
      <c r="D533" s="83">
        <v>148</v>
      </c>
      <c r="E533" s="280">
        <v>121053</v>
      </c>
      <c r="F533" s="280">
        <v>5779</v>
      </c>
      <c r="G533" s="191" t="s">
        <v>140</v>
      </c>
      <c r="H533" s="292">
        <v>115274</v>
      </c>
      <c r="I533" s="292">
        <v>0</v>
      </c>
      <c r="J533" s="292">
        <v>0</v>
      </c>
      <c r="K533" s="292">
        <v>0</v>
      </c>
      <c r="L533" s="292">
        <v>115274</v>
      </c>
    </row>
    <row r="534" spans="1:12" ht="15" customHeight="1" x14ac:dyDescent="0.25">
      <c r="A534" s="83" t="s">
        <v>379</v>
      </c>
      <c r="B534" s="213" t="s">
        <v>81</v>
      </c>
      <c r="C534" s="213" t="s">
        <v>22</v>
      </c>
      <c r="D534" s="83">
        <v>153</v>
      </c>
      <c r="E534" s="280">
        <v>4435775</v>
      </c>
      <c r="F534" s="280">
        <v>4210760</v>
      </c>
      <c r="G534" s="191" t="s">
        <v>140</v>
      </c>
      <c r="H534" s="292">
        <v>225015</v>
      </c>
      <c r="I534" s="292">
        <v>12323</v>
      </c>
      <c r="J534" s="292">
        <v>8157</v>
      </c>
      <c r="K534" s="292">
        <v>4166</v>
      </c>
      <c r="L534" s="292">
        <v>220849</v>
      </c>
    </row>
    <row r="535" spans="1:12" x14ac:dyDescent="0.25">
      <c r="A535" s="83" t="s">
        <v>379</v>
      </c>
      <c r="B535" s="213" t="s">
        <v>457</v>
      </c>
      <c r="C535" s="213" t="s">
        <v>458</v>
      </c>
      <c r="D535" s="83">
        <v>155</v>
      </c>
      <c r="E535" s="280">
        <v>1256537</v>
      </c>
      <c r="F535" s="280">
        <v>1159096</v>
      </c>
      <c r="G535" s="191" t="s">
        <v>140</v>
      </c>
      <c r="H535" s="292">
        <v>97441</v>
      </c>
      <c r="I535" s="292">
        <v>0</v>
      </c>
      <c r="J535" s="292">
        <v>0</v>
      </c>
      <c r="K535" s="292">
        <v>0</v>
      </c>
      <c r="L535" s="292">
        <v>97441</v>
      </c>
    </row>
    <row r="536" spans="1:12" x14ac:dyDescent="0.25">
      <c r="A536" s="83" t="s">
        <v>379</v>
      </c>
      <c r="B536" s="213" t="s">
        <v>338</v>
      </c>
      <c r="C536" s="213" t="s">
        <v>339</v>
      </c>
      <c r="D536" s="83">
        <v>42</v>
      </c>
      <c r="E536" s="280">
        <v>16990141</v>
      </c>
      <c r="F536" s="280">
        <v>14707605</v>
      </c>
      <c r="G536" s="191" t="s">
        <v>140</v>
      </c>
      <c r="H536" s="292">
        <v>2282536</v>
      </c>
      <c r="I536" s="292">
        <v>0</v>
      </c>
      <c r="J536" s="292">
        <v>0</v>
      </c>
      <c r="K536" s="292">
        <v>0</v>
      </c>
      <c r="L536" s="292">
        <v>2282536</v>
      </c>
    </row>
    <row r="537" spans="1:12" ht="45.75" x14ac:dyDescent="0.25">
      <c r="A537" s="83" t="s">
        <v>379</v>
      </c>
      <c r="B537" s="213" t="s">
        <v>514</v>
      </c>
      <c r="C537" s="213" t="s">
        <v>515</v>
      </c>
      <c r="D537" s="83">
        <v>265</v>
      </c>
      <c r="E537" s="280">
        <v>65051</v>
      </c>
      <c r="F537" s="280">
        <v>63255</v>
      </c>
      <c r="G537" s="191" t="s">
        <v>140</v>
      </c>
      <c r="H537" s="292">
        <v>1796</v>
      </c>
      <c r="I537" s="292">
        <v>0</v>
      </c>
      <c r="J537" s="292">
        <v>0</v>
      </c>
      <c r="K537" s="292">
        <v>0</v>
      </c>
      <c r="L537" s="292">
        <v>1796</v>
      </c>
    </row>
    <row r="538" spans="1:12" x14ac:dyDescent="0.25">
      <c r="A538" s="83" t="s">
        <v>379</v>
      </c>
      <c r="B538" s="213" t="s">
        <v>83</v>
      </c>
      <c r="C538" s="213" t="s">
        <v>17</v>
      </c>
      <c r="D538" s="83">
        <v>48</v>
      </c>
      <c r="E538" s="280">
        <v>17377719</v>
      </c>
      <c r="F538" s="280">
        <v>15811250</v>
      </c>
      <c r="G538" s="191" t="s">
        <v>140</v>
      </c>
      <c r="H538" s="292">
        <v>1566469</v>
      </c>
      <c r="I538" s="292">
        <v>1150</v>
      </c>
      <c r="J538" s="292">
        <v>0</v>
      </c>
      <c r="K538" s="292">
        <v>1150</v>
      </c>
      <c r="L538" s="292">
        <v>1565319</v>
      </c>
    </row>
    <row r="539" spans="1:12" x14ac:dyDescent="0.25">
      <c r="A539" s="83" t="s">
        <v>379</v>
      </c>
      <c r="B539" s="213" t="s">
        <v>326</v>
      </c>
      <c r="C539" s="213" t="s">
        <v>327</v>
      </c>
      <c r="D539" s="83">
        <v>218</v>
      </c>
      <c r="E539" s="280">
        <v>3808780</v>
      </c>
      <c r="F539" s="280">
        <v>3065621</v>
      </c>
      <c r="G539" s="191" t="s">
        <v>140</v>
      </c>
      <c r="H539" s="292">
        <v>743159</v>
      </c>
      <c r="I539" s="292">
        <v>0</v>
      </c>
      <c r="J539" s="292">
        <v>0</v>
      </c>
      <c r="K539" s="292">
        <v>0</v>
      </c>
      <c r="L539" s="292">
        <v>743159</v>
      </c>
    </row>
    <row r="540" spans="1:12" x14ac:dyDescent="0.25">
      <c r="A540" s="83" t="s">
        <v>379</v>
      </c>
      <c r="B540" s="213" t="s">
        <v>84</v>
      </c>
      <c r="C540" s="213" t="s">
        <v>24</v>
      </c>
      <c r="D540" s="83">
        <v>350</v>
      </c>
      <c r="E540" s="280">
        <v>59562</v>
      </c>
      <c r="F540" s="280">
        <v>51005</v>
      </c>
      <c r="G540" s="191" t="s">
        <v>140</v>
      </c>
      <c r="H540" s="292">
        <v>8557</v>
      </c>
      <c r="I540" s="292">
        <v>0</v>
      </c>
      <c r="J540" s="292">
        <v>0</v>
      </c>
      <c r="K540" s="292">
        <v>0</v>
      </c>
      <c r="L540" s="292">
        <v>8557</v>
      </c>
    </row>
    <row r="541" spans="1:12" x14ac:dyDescent="0.25">
      <c r="A541" s="83" t="s">
        <v>379</v>
      </c>
      <c r="B541" s="213" t="s">
        <v>459</v>
      </c>
      <c r="C541" s="213" t="s">
        <v>460</v>
      </c>
      <c r="D541" s="83">
        <v>173</v>
      </c>
      <c r="E541" s="280">
        <v>1816992</v>
      </c>
      <c r="F541" s="280">
        <v>1816992</v>
      </c>
      <c r="G541" s="191" t="s">
        <v>140</v>
      </c>
      <c r="H541" s="292">
        <v>0</v>
      </c>
      <c r="I541" s="292">
        <v>4260</v>
      </c>
      <c r="J541" s="292">
        <v>1109</v>
      </c>
      <c r="K541" s="292">
        <v>3151</v>
      </c>
      <c r="L541" s="292">
        <v>-3151</v>
      </c>
    </row>
    <row r="542" spans="1:12" x14ac:dyDescent="0.25">
      <c r="A542" s="83" t="s">
        <v>379</v>
      </c>
      <c r="B542" s="213" t="s">
        <v>493</v>
      </c>
      <c r="C542" s="213" t="s">
        <v>494</v>
      </c>
      <c r="D542" s="83">
        <v>335</v>
      </c>
      <c r="E542" s="280">
        <v>33394</v>
      </c>
      <c r="F542" s="280">
        <v>32132</v>
      </c>
      <c r="G542" s="191" t="s">
        <v>140</v>
      </c>
      <c r="H542" s="292">
        <v>1262</v>
      </c>
      <c r="I542" s="292">
        <v>0</v>
      </c>
      <c r="J542" s="292">
        <v>0</v>
      </c>
      <c r="K542" s="292">
        <v>0</v>
      </c>
      <c r="L542" s="292">
        <v>1262</v>
      </c>
    </row>
    <row r="543" spans="1:12" ht="45.75" x14ac:dyDescent="0.25">
      <c r="A543" s="83" t="s">
        <v>379</v>
      </c>
      <c r="B543" s="213" t="s">
        <v>498</v>
      </c>
      <c r="C543" s="213" t="s">
        <v>499</v>
      </c>
      <c r="D543" s="83">
        <v>329</v>
      </c>
      <c r="E543" s="280">
        <v>1430358</v>
      </c>
      <c r="F543" s="280">
        <v>1149030</v>
      </c>
      <c r="G543" s="191" t="s">
        <v>140</v>
      </c>
      <c r="H543" s="292">
        <v>281328</v>
      </c>
      <c r="I543" s="292">
        <v>0</v>
      </c>
      <c r="J543" s="292">
        <v>0</v>
      </c>
      <c r="K543" s="292">
        <v>0</v>
      </c>
      <c r="L543" s="292">
        <v>281328</v>
      </c>
    </row>
    <row r="544" spans="1:12" ht="15" customHeight="1" x14ac:dyDescent="0.25">
      <c r="A544" s="83" t="s">
        <v>379</v>
      </c>
      <c r="B544" s="213" t="s">
        <v>466</v>
      </c>
      <c r="C544" s="213" t="s">
        <v>467</v>
      </c>
      <c r="D544" s="83">
        <v>261</v>
      </c>
      <c r="E544" s="280">
        <v>927647</v>
      </c>
      <c r="F544" s="280">
        <v>917209</v>
      </c>
      <c r="G544" s="191" t="s">
        <v>140</v>
      </c>
      <c r="H544" s="292">
        <v>10438</v>
      </c>
      <c r="I544" s="292">
        <v>12411</v>
      </c>
      <c r="J544" s="292">
        <v>10089</v>
      </c>
      <c r="K544" s="292">
        <v>2322</v>
      </c>
      <c r="L544" s="292">
        <v>8116</v>
      </c>
    </row>
    <row r="545" spans="1:12" ht="15" customHeight="1" x14ac:dyDescent="0.25">
      <c r="A545" s="83" t="s">
        <v>379</v>
      </c>
      <c r="B545" s="213" t="s">
        <v>461</v>
      </c>
      <c r="C545" s="213" t="s">
        <v>25</v>
      </c>
      <c r="D545" s="83">
        <v>244</v>
      </c>
      <c r="E545" s="280">
        <v>3164646</v>
      </c>
      <c r="F545" s="280">
        <v>3131852</v>
      </c>
      <c r="G545" s="191" t="s">
        <v>140</v>
      </c>
      <c r="H545" s="292">
        <v>32794</v>
      </c>
      <c r="I545" s="292">
        <v>471</v>
      </c>
      <c r="J545" s="292">
        <v>471</v>
      </c>
      <c r="K545" s="292">
        <v>0</v>
      </c>
      <c r="L545" s="292">
        <v>32794</v>
      </c>
    </row>
    <row r="546" spans="1:12" ht="15" customHeight="1" x14ac:dyDescent="0.25">
      <c r="A546" s="83" t="s">
        <v>379</v>
      </c>
      <c r="B546" s="213" t="s">
        <v>511</v>
      </c>
      <c r="C546" s="213" t="s">
        <v>512</v>
      </c>
      <c r="D546" s="83">
        <v>182</v>
      </c>
      <c r="E546" s="280">
        <v>109517</v>
      </c>
      <c r="F546" s="280">
        <v>107006</v>
      </c>
      <c r="G546" s="191" t="s">
        <v>140</v>
      </c>
      <c r="H546" s="292">
        <v>2511</v>
      </c>
      <c r="I546" s="292">
        <v>0</v>
      </c>
      <c r="J546" s="292">
        <v>0</v>
      </c>
      <c r="K546" s="292">
        <v>0</v>
      </c>
      <c r="L546" s="292">
        <v>2511</v>
      </c>
    </row>
    <row r="547" spans="1:12" x14ac:dyDescent="0.25">
      <c r="A547" s="83" t="s">
        <v>379</v>
      </c>
      <c r="B547" s="213" t="s">
        <v>477</v>
      </c>
      <c r="C547" s="213" t="s">
        <v>17</v>
      </c>
      <c r="D547" s="83">
        <v>280</v>
      </c>
      <c r="E547" s="280">
        <v>87954</v>
      </c>
      <c r="F547" s="280">
        <v>82480</v>
      </c>
      <c r="G547" s="191" t="s">
        <v>140</v>
      </c>
      <c r="H547" s="292">
        <v>5474</v>
      </c>
      <c r="I547" s="292">
        <v>0</v>
      </c>
      <c r="J547" s="292">
        <v>0</v>
      </c>
      <c r="K547" s="292">
        <v>0</v>
      </c>
      <c r="L547" s="292">
        <v>5474</v>
      </c>
    </row>
    <row r="548" spans="1:12" ht="30.75" x14ac:dyDescent="0.25">
      <c r="A548" s="83" t="s">
        <v>379</v>
      </c>
      <c r="B548" s="213" t="s">
        <v>500</v>
      </c>
      <c r="C548" s="213" t="s">
        <v>11</v>
      </c>
      <c r="D548" s="83">
        <v>176</v>
      </c>
      <c r="E548" s="280">
        <v>6362242</v>
      </c>
      <c r="F548" s="280">
        <v>6209882</v>
      </c>
      <c r="G548" s="191" t="s">
        <v>140</v>
      </c>
      <c r="H548" s="292">
        <v>152360</v>
      </c>
      <c r="I548" s="292">
        <v>203356</v>
      </c>
      <c r="J548" s="292">
        <v>203356</v>
      </c>
      <c r="K548" s="292">
        <v>0</v>
      </c>
      <c r="L548" s="292">
        <v>152360</v>
      </c>
    </row>
    <row r="549" spans="1:12" x14ac:dyDescent="0.25">
      <c r="A549" s="83" t="s">
        <v>379</v>
      </c>
      <c r="B549" s="213" t="s">
        <v>507</v>
      </c>
      <c r="C549" s="213" t="s">
        <v>508</v>
      </c>
      <c r="D549" s="83">
        <v>57</v>
      </c>
      <c r="E549" s="280">
        <v>1148847</v>
      </c>
      <c r="F549" s="280">
        <v>892434</v>
      </c>
      <c r="G549" s="191" t="s">
        <v>140</v>
      </c>
      <c r="H549" s="292">
        <v>256413</v>
      </c>
      <c r="I549" s="292">
        <v>0</v>
      </c>
      <c r="J549" s="292">
        <v>0</v>
      </c>
      <c r="K549" s="292">
        <v>0</v>
      </c>
      <c r="L549" s="292">
        <v>256413</v>
      </c>
    </row>
    <row r="550" spans="1:12" x14ac:dyDescent="0.25">
      <c r="A550" s="83" t="s">
        <v>379</v>
      </c>
      <c r="B550" s="213" t="s">
        <v>85</v>
      </c>
      <c r="C550" s="213" t="s">
        <v>26</v>
      </c>
      <c r="D550" s="83">
        <v>171</v>
      </c>
      <c r="E550" s="280">
        <v>2152382</v>
      </c>
      <c r="F550" s="280">
        <v>1909924</v>
      </c>
      <c r="G550" s="191" t="s">
        <v>140</v>
      </c>
      <c r="H550" s="292">
        <v>242458</v>
      </c>
      <c r="I550" s="292">
        <v>0</v>
      </c>
      <c r="J550" s="292">
        <v>0</v>
      </c>
      <c r="K550" s="292">
        <v>0</v>
      </c>
      <c r="L550" s="292">
        <v>242458</v>
      </c>
    </row>
    <row r="551" spans="1:12" ht="30.75" x14ac:dyDescent="0.25">
      <c r="A551" s="83" t="s">
        <v>379</v>
      </c>
      <c r="B551" s="213" t="s">
        <v>86</v>
      </c>
      <c r="C551" s="213" t="s">
        <v>25</v>
      </c>
      <c r="D551" s="83">
        <v>258</v>
      </c>
      <c r="E551" s="280">
        <v>3369668</v>
      </c>
      <c r="F551" s="280">
        <v>2647678</v>
      </c>
      <c r="G551" s="191" t="s">
        <v>140</v>
      </c>
      <c r="H551" s="292">
        <v>721990</v>
      </c>
      <c r="I551" s="292">
        <v>0</v>
      </c>
      <c r="J551" s="292">
        <v>0</v>
      </c>
      <c r="K551" s="292">
        <v>0</v>
      </c>
      <c r="L551" s="292">
        <v>721990</v>
      </c>
    </row>
    <row r="552" spans="1:12" x14ac:dyDescent="0.25">
      <c r="A552" s="83" t="s">
        <v>379</v>
      </c>
      <c r="B552" s="213" t="s">
        <v>509</v>
      </c>
      <c r="C552" s="213" t="s">
        <v>510</v>
      </c>
      <c r="D552" s="83">
        <v>58</v>
      </c>
      <c r="E552" s="280">
        <v>3305227</v>
      </c>
      <c r="F552" s="280">
        <v>3224482</v>
      </c>
      <c r="G552" s="191" t="s">
        <v>140</v>
      </c>
      <c r="H552" s="292">
        <v>80745</v>
      </c>
      <c r="I552" s="292">
        <v>0</v>
      </c>
      <c r="J552" s="292">
        <v>0</v>
      </c>
      <c r="K552" s="292">
        <v>0</v>
      </c>
      <c r="L552" s="292">
        <v>80745</v>
      </c>
    </row>
    <row r="553" spans="1:12" x14ac:dyDescent="0.25">
      <c r="A553" s="83" t="s">
        <v>379</v>
      </c>
      <c r="B553" s="213" t="s">
        <v>480</v>
      </c>
      <c r="C553" s="213" t="s">
        <v>481</v>
      </c>
      <c r="D553" s="83">
        <v>308</v>
      </c>
      <c r="E553" s="280">
        <v>135845</v>
      </c>
      <c r="F553" s="280">
        <v>43821</v>
      </c>
      <c r="G553" s="191" t="s">
        <v>140</v>
      </c>
      <c r="H553" s="292">
        <v>92024</v>
      </c>
      <c r="I553" s="292">
        <v>0</v>
      </c>
      <c r="J553" s="292">
        <v>0</v>
      </c>
      <c r="K553" s="292">
        <v>0</v>
      </c>
      <c r="L553" s="292">
        <v>92024</v>
      </c>
    </row>
    <row r="554" spans="1:12" x14ac:dyDescent="0.25">
      <c r="A554" s="83" t="s">
        <v>379</v>
      </c>
      <c r="B554" s="213" t="s">
        <v>87</v>
      </c>
      <c r="C554" s="213" t="s">
        <v>17</v>
      </c>
      <c r="D554" s="83">
        <v>260</v>
      </c>
      <c r="E554" s="280">
        <v>21787691</v>
      </c>
      <c r="F554" s="280">
        <v>21509807</v>
      </c>
      <c r="G554" s="191" t="s">
        <v>140</v>
      </c>
      <c r="H554" s="292">
        <v>277884</v>
      </c>
      <c r="I554" s="292">
        <v>1090955</v>
      </c>
      <c r="J554" s="292">
        <v>31533</v>
      </c>
      <c r="K554" s="292">
        <v>1059422</v>
      </c>
      <c r="L554" s="292">
        <v>-781538</v>
      </c>
    </row>
    <row r="555" spans="1:12" x14ac:dyDescent="0.25">
      <c r="A555" s="83" t="s">
        <v>379</v>
      </c>
      <c r="B555" s="213" t="s">
        <v>462</v>
      </c>
      <c r="C555" s="213" t="s">
        <v>463</v>
      </c>
      <c r="D555" s="83">
        <v>346</v>
      </c>
      <c r="E555" s="280">
        <v>51841</v>
      </c>
      <c r="F555" s="280">
        <v>50296</v>
      </c>
      <c r="G555" s="191" t="s">
        <v>140</v>
      </c>
      <c r="H555" s="292">
        <v>1545</v>
      </c>
      <c r="I555" s="292">
        <v>0</v>
      </c>
      <c r="J555" s="292">
        <v>0</v>
      </c>
      <c r="K555" s="292">
        <v>0</v>
      </c>
      <c r="L555" s="292">
        <v>1545</v>
      </c>
    </row>
    <row r="556" spans="1:12" x14ac:dyDescent="0.25">
      <c r="A556" s="83" t="s">
        <v>379</v>
      </c>
      <c r="B556" s="213" t="s">
        <v>89</v>
      </c>
      <c r="C556" s="213" t="s">
        <v>28</v>
      </c>
      <c r="D556" s="83">
        <v>351</v>
      </c>
      <c r="E556" s="280">
        <v>63789</v>
      </c>
      <c r="F556" s="280">
        <v>58955</v>
      </c>
      <c r="G556" s="191" t="s">
        <v>140</v>
      </c>
      <c r="H556" s="292">
        <v>4834</v>
      </c>
      <c r="I556" s="292">
        <v>0</v>
      </c>
      <c r="J556" s="292">
        <v>0</v>
      </c>
      <c r="K556" s="292">
        <v>0</v>
      </c>
      <c r="L556" s="292">
        <v>4834</v>
      </c>
    </row>
    <row r="557" spans="1:12" ht="15.75" customHeight="1" x14ac:dyDescent="0.25">
      <c r="A557" s="199" t="s">
        <v>390</v>
      </c>
      <c r="B557" s="214" t="s">
        <v>140</v>
      </c>
      <c r="C557" s="214" t="s">
        <v>140</v>
      </c>
      <c r="D557" s="214" t="s">
        <v>140</v>
      </c>
      <c r="E557" s="293">
        <f>SUBTOTAL(109,school200809[Program
Costs])</f>
        <v>479117718</v>
      </c>
      <c r="F557" s="293">
        <f>SUBTOTAL(109,school200809[Less: Net Payments and Offsets2])</f>
        <v>380599458</v>
      </c>
      <c r="G557" s="214" t="s">
        <v>140</v>
      </c>
      <c r="H557" s="293">
        <f>SUBTOTAL(109,school200809[Accounts Payable
Balance])</f>
        <v>98518260</v>
      </c>
      <c r="I557" s="293">
        <f>SUBTOTAL(109,school200809[Established
Accounts Receivable])</f>
        <v>2272295</v>
      </c>
      <c r="J557" s="293">
        <f>SUBTOTAL(109,school200809[Less: Recovered Amount])</f>
        <v>295119</v>
      </c>
      <c r="K557" s="293">
        <f>SUBTOTAL(109,school200809[Accounts Receivable
Balance])</f>
        <v>1977176</v>
      </c>
      <c r="L557" s="293">
        <f>SUBTOTAL(109,school200809[Net
Balance])</f>
        <v>96541084</v>
      </c>
    </row>
    <row r="558" spans="1:12" ht="15.75" customHeight="1" x14ac:dyDescent="0.25">
      <c r="A558" s="195" t="s">
        <v>141</v>
      </c>
      <c r="B558" s="142"/>
      <c r="C558" s="142"/>
      <c r="D558" s="142"/>
      <c r="E558" s="26"/>
      <c r="F558" s="26"/>
      <c r="G558" s="196"/>
      <c r="H558" s="26"/>
      <c r="I558" s="26"/>
      <c r="J558" s="26"/>
      <c r="K558" s="26"/>
      <c r="L558" s="26"/>
    </row>
    <row r="559" spans="1:12" ht="50.1" customHeight="1" x14ac:dyDescent="0.25">
      <c r="A559" s="10" t="s">
        <v>5</v>
      </c>
      <c r="B559" s="10" t="s">
        <v>6</v>
      </c>
      <c r="C559" s="10" t="s">
        <v>0</v>
      </c>
      <c r="D559" s="10" t="s">
        <v>441</v>
      </c>
      <c r="E559" s="215" t="s">
        <v>234</v>
      </c>
      <c r="F559" s="216" t="s">
        <v>452</v>
      </c>
      <c r="G559" s="217" t="s">
        <v>142</v>
      </c>
      <c r="H559" s="215" t="s">
        <v>444</v>
      </c>
      <c r="I559" s="215" t="s">
        <v>445</v>
      </c>
      <c r="J559" s="215" t="s">
        <v>446</v>
      </c>
      <c r="K559" s="215" t="s">
        <v>447</v>
      </c>
      <c r="L559" s="215" t="s">
        <v>305</v>
      </c>
    </row>
    <row r="560" spans="1:12" x14ac:dyDescent="0.25">
      <c r="A560" s="83" t="s">
        <v>391</v>
      </c>
      <c r="B560" s="213" t="s">
        <v>330</v>
      </c>
      <c r="C560" s="213" t="s">
        <v>331</v>
      </c>
      <c r="D560" s="83">
        <v>170</v>
      </c>
      <c r="E560" s="280">
        <v>0</v>
      </c>
      <c r="F560" s="280">
        <v>0</v>
      </c>
      <c r="G560" s="191" t="s">
        <v>140</v>
      </c>
      <c r="H560" s="292">
        <v>0</v>
      </c>
      <c r="I560" s="292">
        <v>1000</v>
      </c>
      <c r="J560" s="292">
        <v>0</v>
      </c>
      <c r="K560" s="292">
        <v>1000</v>
      </c>
      <c r="L560" s="292">
        <v>-1000</v>
      </c>
    </row>
    <row r="561" spans="1:12" x14ac:dyDescent="0.25">
      <c r="A561" s="83" t="s">
        <v>391</v>
      </c>
      <c r="B561" s="213" t="s">
        <v>468</v>
      </c>
      <c r="C561" s="213" t="s">
        <v>469</v>
      </c>
      <c r="D561" s="83">
        <v>305</v>
      </c>
      <c r="E561" s="280">
        <v>117677</v>
      </c>
      <c r="F561" s="280">
        <v>104958</v>
      </c>
      <c r="G561" s="191" t="s">
        <v>140</v>
      </c>
      <c r="H561" s="292">
        <v>12719</v>
      </c>
      <c r="I561" s="292">
        <v>0</v>
      </c>
      <c r="J561" s="292">
        <v>0</v>
      </c>
      <c r="K561" s="292">
        <v>0</v>
      </c>
      <c r="L561" s="292">
        <v>12719</v>
      </c>
    </row>
    <row r="562" spans="1:12" ht="30.75" x14ac:dyDescent="0.25">
      <c r="A562" s="83" t="s">
        <v>391</v>
      </c>
      <c r="B562" s="213" t="s">
        <v>66</v>
      </c>
      <c r="C562" s="213" t="s">
        <v>7</v>
      </c>
      <c r="D562" s="83">
        <v>250</v>
      </c>
      <c r="E562" s="280">
        <v>1709781</v>
      </c>
      <c r="F562" s="280">
        <v>1015426</v>
      </c>
      <c r="G562" s="191" t="s">
        <v>140</v>
      </c>
      <c r="H562" s="292">
        <v>694355</v>
      </c>
      <c r="I562" s="292">
        <v>7</v>
      </c>
      <c r="J562" s="292">
        <v>4</v>
      </c>
      <c r="K562" s="292">
        <v>3</v>
      </c>
      <c r="L562" s="292">
        <v>694352</v>
      </c>
    </row>
    <row r="563" spans="1:12" ht="30.75" x14ac:dyDescent="0.25">
      <c r="A563" s="83" t="s">
        <v>391</v>
      </c>
      <c r="B563" s="213" t="s">
        <v>495</v>
      </c>
      <c r="C563" s="213" t="s">
        <v>490</v>
      </c>
      <c r="D563" s="83">
        <v>348</v>
      </c>
      <c r="E563" s="280">
        <v>53867214</v>
      </c>
      <c r="F563" s="280">
        <v>45736429</v>
      </c>
      <c r="G563" s="191" t="s">
        <v>140</v>
      </c>
      <c r="H563" s="292">
        <v>8130785</v>
      </c>
      <c r="I563" s="292">
        <v>0</v>
      </c>
      <c r="J563" s="292">
        <v>0</v>
      </c>
      <c r="K563" s="292">
        <v>0</v>
      </c>
      <c r="L563" s="292">
        <v>8130785</v>
      </c>
    </row>
    <row r="564" spans="1:12" ht="30.75" x14ac:dyDescent="0.25">
      <c r="A564" s="83" t="s">
        <v>391</v>
      </c>
      <c r="B564" s="213" t="s">
        <v>483</v>
      </c>
      <c r="C564" s="213" t="s">
        <v>484</v>
      </c>
      <c r="D564" s="83">
        <v>286</v>
      </c>
      <c r="E564" s="280">
        <v>72259</v>
      </c>
      <c r="F564" s="280">
        <v>49294</v>
      </c>
      <c r="G564" s="191" t="s">
        <v>140</v>
      </c>
      <c r="H564" s="292">
        <v>22965</v>
      </c>
      <c r="I564" s="292">
        <v>0</v>
      </c>
      <c r="J564" s="292">
        <v>0</v>
      </c>
      <c r="K564" s="292">
        <v>0</v>
      </c>
      <c r="L564" s="292">
        <v>22965</v>
      </c>
    </row>
    <row r="565" spans="1:12" ht="30.75" x14ac:dyDescent="0.25">
      <c r="A565" s="83" t="s">
        <v>391</v>
      </c>
      <c r="B565" s="213" t="s">
        <v>69</v>
      </c>
      <c r="C565" s="213" t="s">
        <v>10</v>
      </c>
      <c r="D565" s="83">
        <v>172</v>
      </c>
      <c r="E565" s="280">
        <v>624944</v>
      </c>
      <c r="F565" s="280">
        <v>536418</v>
      </c>
      <c r="G565" s="191" t="s">
        <v>140</v>
      </c>
      <c r="H565" s="292">
        <v>88526</v>
      </c>
      <c r="I565" s="292">
        <v>0</v>
      </c>
      <c r="J565" s="292">
        <v>0</v>
      </c>
      <c r="K565" s="292">
        <v>0</v>
      </c>
      <c r="L565" s="292">
        <v>88526</v>
      </c>
    </row>
    <row r="566" spans="1:12" x14ac:dyDescent="0.25">
      <c r="A566" s="83" t="s">
        <v>391</v>
      </c>
      <c r="B566" s="213" t="s">
        <v>464</v>
      </c>
      <c r="C566" s="213" t="s">
        <v>465</v>
      </c>
      <c r="D566" s="83">
        <v>278</v>
      </c>
      <c r="E566" s="280">
        <v>1740107</v>
      </c>
      <c r="F566" s="280">
        <v>1552010</v>
      </c>
      <c r="G566" s="191" t="s">
        <v>140</v>
      </c>
      <c r="H566" s="292">
        <v>188097</v>
      </c>
      <c r="I566" s="292">
        <v>0</v>
      </c>
      <c r="J566" s="292">
        <v>0</v>
      </c>
      <c r="K566" s="292">
        <v>0</v>
      </c>
      <c r="L566" s="292">
        <v>188097</v>
      </c>
    </row>
    <row r="567" spans="1:12" ht="30.75" x14ac:dyDescent="0.25">
      <c r="A567" s="83" t="s">
        <v>391</v>
      </c>
      <c r="B567" s="213" t="s">
        <v>72</v>
      </c>
      <c r="C567" s="213" t="s">
        <v>13</v>
      </c>
      <c r="D567" s="83">
        <v>11</v>
      </c>
      <c r="E567" s="280">
        <v>23972104</v>
      </c>
      <c r="F567" s="280">
        <v>21133564</v>
      </c>
      <c r="G567" s="191" t="s">
        <v>140</v>
      </c>
      <c r="H567" s="292">
        <v>2838540</v>
      </c>
      <c r="I567" s="292">
        <v>2</v>
      </c>
      <c r="J567" s="292">
        <v>0</v>
      </c>
      <c r="K567" s="292">
        <v>2</v>
      </c>
      <c r="L567" s="292">
        <v>2838538</v>
      </c>
    </row>
    <row r="568" spans="1:12" x14ac:dyDescent="0.25">
      <c r="A568" s="83" t="s">
        <v>391</v>
      </c>
      <c r="B568" s="213" t="s">
        <v>513</v>
      </c>
      <c r="C568" s="213" t="s">
        <v>14</v>
      </c>
      <c r="D568" s="83">
        <v>223</v>
      </c>
      <c r="E568" s="280">
        <v>4039486</v>
      </c>
      <c r="F568" s="280">
        <v>3691207</v>
      </c>
      <c r="G568" s="191" t="s">
        <v>140</v>
      </c>
      <c r="H568" s="292">
        <v>348279</v>
      </c>
      <c r="I568" s="292">
        <v>3</v>
      </c>
      <c r="J568" s="292">
        <v>0</v>
      </c>
      <c r="K568" s="292">
        <v>3</v>
      </c>
      <c r="L568" s="292">
        <v>348276</v>
      </c>
    </row>
    <row r="569" spans="1:12" ht="45.75" x14ac:dyDescent="0.25">
      <c r="A569" s="83" t="s">
        <v>391</v>
      </c>
      <c r="B569" s="213" t="s">
        <v>67</v>
      </c>
      <c r="C569" s="213" t="s">
        <v>8</v>
      </c>
      <c r="D569" s="83">
        <v>272</v>
      </c>
      <c r="E569" s="280">
        <v>9224219</v>
      </c>
      <c r="F569" s="280">
        <v>8491932</v>
      </c>
      <c r="G569" s="191" t="s">
        <v>140</v>
      </c>
      <c r="H569" s="292">
        <v>732287</v>
      </c>
      <c r="I569" s="292">
        <v>2</v>
      </c>
      <c r="J569" s="292">
        <v>0</v>
      </c>
      <c r="K569" s="292">
        <v>2</v>
      </c>
      <c r="L569" s="292">
        <v>732285</v>
      </c>
    </row>
    <row r="570" spans="1:12" ht="45.75" x14ac:dyDescent="0.25">
      <c r="A570" s="83" t="s">
        <v>391</v>
      </c>
      <c r="B570" s="213" t="s">
        <v>82</v>
      </c>
      <c r="C570" s="213" t="s">
        <v>23</v>
      </c>
      <c r="D570" s="83">
        <v>276</v>
      </c>
      <c r="E570" s="280">
        <v>891073</v>
      </c>
      <c r="F570" s="280">
        <v>717431</v>
      </c>
      <c r="G570" s="191" t="s">
        <v>140</v>
      </c>
      <c r="H570" s="292">
        <v>173642</v>
      </c>
      <c r="I570" s="292">
        <v>0</v>
      </c>
      <c r="J570" s="292">
        <v>0</v>
      </c>
      <c r="K570" s="292">
        <v>0</v>
      </c>
      <c r="L570" s="292">
        <v>173642</v>
      </c>
    </row>
    <row r="571" spans="1:12" ht="45.75" x14ac:dyDescent="0.25">
      <c r="A571" s="83" t="s">
        <v>391</v>
      </c>
      <c r="B571" s="213" t="s">
        <v>516</v>
      </c>
      <c r="C571" s="213" t="s">
        <v>517</v>
      </c>
      <c r="D571" s="83">
        <v>291</v>
      </c>
      <c r="E571" s="280">
        <v>346400</v>
      </c>
      <c r="F571" s="280">
        <v>287064</v>
      </c>
      <c r="G571" s="191" t="s">
        <v>140</v>
      </c>
      <c r="H571" s="292">
        <v>59336</v>
      </c>
      <c r="I571" s="292">
        <v>0</v>
      </c>
      <c r="J571" s="292">
        <v>0</v>
      </c>
      <c r="K571" s="292">
        <v>0</v>
      </c>
      <c r="L571" s="292">
        <v>59336</v>
      </c>
    </row>
    <row r="572" spans="1:12" ht="30.75" x14ac:dyDescent="0.25">
      <c r="A572" s="83" t="s">
        <v>391</v>
      </c>
      <c r="B572" s="213" t="s">
        <v>71</v>
      </c>
      <c r="C572" s="213" t="s">
        <v>12</v>
      </c>
      <c r="D572" s="83">
        <v>209</v>
      </c>
      <c r="E572" s="280">
        <v>309546</v>
      </c>
      <c r="F572" s="280">
        <v>224475</v>
      </c>
      <c r="G572" s="191" t="s">
        <v>140</v>
      </c>
      <c r="H572" s="292">
        <v>85071</v>
      </c>
      <c r="I572" s="292">
        <v>0</v>
      </c>
      <c r="J572" s="292">
        <v>0</v>
      </c>
      <c r="K572" s="292">
        <v>0</v>
      </c>
      <c r="L572" s="292">
        <v>85071</v>
      </c>
    </row>
    <row r="573" spans="1:12" x14ac:dyDescent="0.25">
      <c r="A573" s="83" t="s">
        <v>391</v>
      </c>
      <c r="B573" s="213" t="s">
        <v>74</v>
      </c>
      <c r="C573" s="213" t="s">
        <v>15</v>
      </c>
      <c r="D573" s="83">
        <v>183</v>
      </c>
      <c r="E573" s="280">
        <v>868045</v>
      </c>
      <c r="F573" s="280">
        <v>731745</v>
      </c>
      <c r="G573" s="191" t="s">
        <v>140</v>
      </c>
      <c r="H573" s="292">
        <v>136300</v>
      </c>
      <c r="I573" s="292">
        <v>1</v>
      </c>
      <c r="J573" s="292">
        <v>1</v>
      </c>
      <c r="K573" s="292">
        <v>0</v>
      </c>
      <c r="L573" s="292">
        <v>136300</v>
      </c>
    </row>
    <row r="574" spans="1:12" ht="15.75" customHeight="1" x14ac:dyDescent="0.25">
      <c r="A574" s="83" t="s">
        <v>391</v>
      </c>
      <c r="B574" s="213" t="s">
        <v>455</v>
      </c>
      <c r="C574" s="213" t="s">
        <v>456</v>
      </c>
      <c r="D574" s="83">
        <v>251</v>
      </c>
      <c r="E574" s="280">
        <v>459132</v>
      </c>
      <c r="F574" s="280">
        <v>388107</v>
      </c>
      <c r="G574" s="191" t="s">
        <v>140</v>
      </c>
      <c r="H574" s="292">
        <v>71025</v>
      </c>
      <c r="I574" s="292">
        <v>0</v>
      </c>
      <c r="J574" s="292">
        <v>0</v>
      </c>
      <c r="K574" s="292">
        <v>0</v>
      </c>
      <c r="L574" s="292">
        <v>71025</v>
      </c>
    </row>
    <row r="575" spans="1:12" ht="30.75" x14ac:dyDescent="0.25">
      <c r="A575" s="83" t="s">
        <v>391</v>
      </c>
      <c r="B575" s="213" t="s">
        <v>472</v>
      </c>
      <c r="C575" s="213" t="s">
        <v>11</v>
      </c>
      <c r="D575" s="83">
        <v>91</v>
      </c>
      <c r="E575" s="280">
        <v>13054</v>
      </c>
      <c r="F575" s="280">
        <v>11243</v>
      </c>
      <c r="G575" s="191" t="s">
        <v>140</v>
      </c>
      <c r="H575" s="292">
        <v>1811</v>
      </c>
      <c r="I575" s="292">
        <v>0</v>
      </c>
      <c r="J575" s="292">
        <v>0</v>
      </c>
      <c r="K575" s="292">
        <v>0</v>
      </c>
      <c r="L575" s="292">
        <v>1811</v>
      </c>
    </row>
    <row r="576" spans="1:12" x14ac:dyDescent="0.25">
      <c r="A576" s="83" t="s">
        <v>391</v>
      </c>
      <c r="B576" s="213" t="s">
        <v>75</v>
      </c>
      <c r="C576" s="213" t="s">
        <v>16</v>
      </c>
      <c r="D576" s="83">
        <v>192</v>
      </c>
      <c r="E576" s="280">
        <v>415489</v>
      </c>
      <c r="F576" s="280">
        <v>357800</v>
      </c>
      <c r="G576" s="191" t="s">
        <v>140</v>
      </c>
      <c r="H576" s="292">
        <v>57689</v>
      </c>
      <c r="I576" s="292">
        <v>0</v>
      </c>
      <c r="J576" s="292">
        <v>0</v>
      </c>
      <c r="K576" s="292">
        <v>0</v>
      </c>
      <c r="L576" s="292">
        <v>57689</v>
      </c>
    </row>
    <row r="577" spans="1:12" x14ac:dyDescent="0.25">
      <c r="A577" s="83" t="s">
        <v>391</v>
      </c>
      <c r="B577" s="213" t="s">
        <v>518</v>
      </c>
      <c r="C577" s="213" t="s">
        <v>17</v>
      </c>
      <c r="D577" s="83">
        <v>26</v>
      </c>
      <c r="E577" s="280">
        <v>27025365</v>
      </c>
      <c r="F577" s="280">
        <v>19200448</v>
      </c>
      <c r="G577" s="191" t="s">
        <v>140</v>
      </c>
      <c r="H577" s="292">
        <v>7824917</v>
      </c>
      <c r="I577" s="292">
        <v>0</v>
      </c>
      <c r="J577" s="292">
        <v>0</v>
      </c>
      <c r="K577" s="292">
        <v>0</v>
      </c>
      <c r="L577" s="292">
        <v>7824917</v>
      </c>
    </row>
    <row r="578" spans="1:12" ht="30.75" x14ac:dyDescent="0.25">
      <c r="A578" s="83" t="s">
        <v>391</v>
      </c>
      <c r="B578" s="213" t="s">
        <v>76</v>
      </c>
      <c r="C578" s="213" t="s">
        <v>17</v>
      </c>
      <c r="D578" s="83">
        <v>297</v>
      </c>
      <c r="E578" s="280">
        <v>231343214</v>
      </c>
      <c r="F578" s="280">
        <v>180663161</v>
      </c>
      <c r="G578" s="191" t="s">
        <v>140</v>
      </c>
      <c r="H578" s="292">
        <v>50680053</v>
      </c>
      <c r="I578" s="292">
        <v>0</v>
      </c>
      <c r="J578" s="292">
        <v>0</v>
      </c>
      <c r="K578" s="292">
        <v>0</v>
      </c>
      <c r="L578" s="292">
        <v>50680053</v>
      </c>
    </row>
    <row r="579" spans="1:12" x14ac:dyDescent="0.25">
      <c r="A579" s="83" t="s">
        <v>391</v>
      </c>
      <c r="B579" s="213" t="s">
        <v>77</v>
      </c>
      <c r="C579" s="213" t="s">
        <v>18</v>
      </c>
      <c r="D579" s="83">
        <v>166</v>
      </c>
      <c r="E579" s="280">
        <v>9142743</v>
      </c>
      <c r="F579" s="280">
        <v>7632371</v>
      </c>
      <c r="G579" s="191" t="s">
        <v>140</v>
      </c>
      <c r="H579" s="292">
        <v>1510372</v>
      </c>
      <c r="I579" s="292">
        <v>1</v>
      </c>
      <c r="J579" s="292">
        <v>0</v>
      </c>
      <c r="K579" s="292">
        <v>1</v>
      </c>
      <c r="L579" s="292">
        <v>1510371</v>
      </c>
    </row>
    <row r="580" spans="1:12" x14ac:dyDescent="0.25">
      <c r="A580" s="83" t="s">
        <v>391</v>
      </c>
      <c r="B580" s="213" t="s">
        <v>473</v>
      </c>
      <c r="C580" s="213" t="s">
        <v>474</v>
      </c>
      <c r="D580" s="83">
        <v>268</v>
      </c>
      <c r="E580" s="280">
        <v>6821348</v>
      </c>
      <c r="F580" s="280">
        <v>4845414</v>
      </c>
      <c r="G580" s="191" t="s">
        <v>140</v>
      </c>
      <c r="H580" s="292">
        <v>1975934</v>
      </c>
      <c r="I580" s="292">
        <v>0</v>
      </c>
      <c r="J580" s="292">
        <v>0</v>
      </c>
      <c r="K580" s="292">
        <v>0</v>
      </c>
      <c r="L580" s="292">
        <v>1975934</v>
      </c>
    </row>
    <row r="581" spans="1:12" ht="15.75" customHeight="1" x14ac:dyDescent="0.25">
      <c r="A581" s="83" t="s">
        <v>391</v>
      </c>
      <c r="B581" s="213" t="s">
        <v>80</v>
      </c>
      <c r="C581" s="213" t="s">
        <v>21</v>
      </c>
      <c r="D581" s="83">
        <v>32</v>
      </c>
      <c r="E581" s="280">
        <v>4365949</v>
      </c>
      <c r="F581" s="280">
        <v>4220239</v>
      </c>
      <c r="G581" s="191" t="s">
        <v>140</v>
      </c>
      <c r="H581" s="292">
        <v>145710</v>
      </c>
      <c r="I581" s="292">
        <v>2</v>
      </c>
      <c r="J581" s="292">
        <v>0</v>
      </c>
      <c r="K581" s="292">
        <v>2</v>
      </c>
      <c r="L581" s="292">
        <v>145708</v>
      </c>
    </row>
    <row r="582" spans="1:12" x14ac:dyDescent="0.25">
      <c r="A582" s="83" t="s">
        <v>391</v>
      </c>
      <c r="B582" s="213" t="s">
        <v>491</v>
      </c>
      <c r="C582" s="213" t="s">
        <v>19</v>
      </c>
      <c r="D582" s="83">
        <v>230</v>
      </c>
      <c r="E582" s="280">
        <v>5527460</v>
      </c>
      <c r="F582" s="280">
        <v>5438722</v>
      </c>
      <c r="G582" s="191" t="s">
        <v>140</v>
      </c>
      <c r="H582" s="292">
        <v>88738</v>
      </c>
      <c r="I582" s="292">
        <v>3</v>
      </c>
      <c r="J582" s="292">
        <v>0</v>
      </c>
      <c r="K582" s="292">
        <v>3</v>
      </c>
      <c r="L582" s="292">
        <v>88735</v>
      </c>
    </row>
    <row r="583" spans="1:12" x14ac:dyDescent="0.25">
      <c r="A583" s="83" t="s">
        <v>391</v>
      </c>
      <c r="B583" s="213" t="s">
        <v>475</v>
      </c>
      <c r="C583" s="213" t="s">
        <v>476</v>
      </c>
      <c r="D583" s="83">
        <v>148</v>
      </c>
      <c r="E583" s="280">
        <v>35051</v>
      </c>
      <c r="F583" s="280">
        <v>9658</v>
      </c>
      <c r="G583" s="191" t="s">
        <v>140</v>
      </c>
      <c r="H583" s="292">
        <v>25393</v>
      </c>
      <c r="I583" s="292">
        <v>0</v>
      </c>
      <c r="J583" s="292">
        <v>0</v>
      </c>
      <c r="K583" s="292">
        <v>0</v>
      </c>
      <c r="L583" s="292">
        <v>25393</v>
      </c>
    </row>
    <row r="584" spans="1:12" ht="15" customHeight="1" x14ac:dyDescent="0.25">
      <c r="A584" s="83" t="s">
        <v>391</v>
      </c>
      <c r="B584" s="213" t="s">
        <v>81</v>
      </c>
      <c r="C584" s="213" t="s">
        <v>22</v>
      </c>
      <c r="D584" s="83">
        <v>153</v>
      </c>
      <c r="E584" s="280">
        <v>4238386</v>
      </c>
      <c r="F584" s="280">
        <v>3825740</v>
      </c>
      <c r="G584" s="191" t="s">
        <v>140</v>
      </c>
      <c r="H584" s="292">
        <v>412646</v>
      </c>
      <c r="I584" s="292">
        <v>0</v>
      </c>
      <c r="J584" s="292">
        <v>0</v>
      </c>
      <c r="K584" s="292">
        <v>0</v>
      </c>
      <c r="L584" s="292">
        <v>412646</v>
      </c>
    </row>
    <row r="585" spans="1:12" x14ac:dyDescent="0.25">
      <c r="A585" s="83" t="s">
        <v>391</v>
      </c>
      <c r="B585" s="213" t="s">
        <v>457</v>
      </c>
      <c r="C585" s="213" t="s">
        <v>458</v>
      </c>
      <c r="D585" s="83">
        <v>155</v>
      </c>
      <c r="E585" s="280">
        <v>1159907</v>
      </c>
      <c r="F585" s="280">
        <v>470577</v>
      </c>
      <c r="G585" s="191" t="s">
        <v>140</v>
      </c>
      <c r="H585" s="292">
        <v>689330</v>
      </c>
      <c r="I585" s="292">
        <v>0</v>
      </c>
      <c r="J585" s="292">
        <v>0</v>
      </c>
      <c r="K585" s="292">
        <v>0</v>
      </c>
      <c r="L585" s="292">
        <v>689330</v>
      </c>
    </row>
    <row r="586" spans="1:12" x14ac:dyDescent="0.25">
      <c r="A586" s="83" t="s">
        <v>391</v>
      </c>
      <c r="B586" s="213" t="s">
        <v>338</v>
      </c>
      <c r="C586" s="213" t="s">
        <v>339</v>
      </c>
      <c r="D586" s="83">
        <v>42</v>
      </c>
      <c r="E586" s="280">
        <v>16405291</v>
      </c>
      <c r="F586" s="280">
        <v>14589752</v>
      </c>
      <c r="G586" s="191" t="s">
        <v>140</v>
      </c>
      <c r="H586" s="292">
        <v>1815539</v>
      </c>
      <c r="I586" s="292">
        <v>0</v>
      </c>
      <c r="J586" s="292">
        <v>0</v>
      </c>
      <c r="K586" s="292">
        <v>0</v>
      </c>
      <c r="L586" s="292">
        <v>1815539</v>
      </c>
    </row>
    <row r="587" spans="1:12" ht="45.75" x14ac:dyDescent="0.25">
      <c r="A587" s="83" t="s">
        <v>391</v>
      </c>
      <c r="B587" s="213" t="s">
        <v>514</v>
      </c>
      <c r="C587" s="213" t="s">
        <v>515</v>
      </c>
      <c r="D587" s="83">
        <v>265</v>
      </c>
      <c r="E587" s="280">
        <v>3431203</v>
      </c>
      <c r="F587" s="280">
        <v>3273018</v>
      </c>
      <c r="G587" s="191" t="s">
        <v>140</v>
      </c>
      <c r="H587" s="292">
        <v>158185</v>
      </c>
      <c r="I587" s="292">
        <v>0</v>
      </c>
      <c r="J587" s="292">
        <v>0</v>
      </c>
      <c r="K587" s="292">
        <v>0</v>
      </c>
      <c r="L587" s="292">
        <v>158185</v>
      </c>
    </row>
    <row r="588" spans="1:12" x14ac:dyDescent="0.25">
      <c r="A588" s="83" t="s">
        <v>391</v>
      </c>
      <c r="B588" s="213" t="s">
        <v>83</v>
      </c>
      <c r="C588" s="213" t="s">
        <v>17</v>
      </c>
      <c r="D588" s="83">
        <v>48</v>
      </c>
      <c r="E588" s="280">
        <v>16695259</v>
      </c>
      <c r="F588" s="280">
        <v>14809884</v>
      </c>
      <c r="G588" s="191" t="s">
        <v>140</v>
      </c>
      <c r="H588" s="292">
        <v>1885375</v>
      </c>
      <c r="I588" s="292">
        <v>10</v>
      </c>
      <c r="J588" s="292">
        <v>9</v>
      </c>
      <c r="K588" s="292">
        <v>1</v>
      </c>
      <c r="L588" s="292">
        <v>1885374</v>
      </c>
    </row>
    <row r="589" spans="1:12" ht="30.75" x14ac:dyDescent="0.25">
      <c r="A589" s="83" t="s">
        <v>391</v>
      </c>
      <c r="B589" s="213" t="s">
        <v>519</v>
      </c>
      <c r="C589" s="213" t="s">
        <v>449</v>
      </c>
      <c r="D589" s="83">
        <v>150</v>
      </c>
      <c r="E589" s="280">
        <v>7031995</v>
      </c>
      <c r="F589" s="280">
        <v>6148659</v>
      </c>
      <c r="G589" s="191" t="s">
        <v>140</v>
      </c>
      <c r="H589" s="292">
        <v>883336</v>
      </c>
      <c r="I589" s="292">
        <v>9</v>
      </c>
      <c r="J589" s="292">
        <v>7</v>
      </c>
      <c r="K589" s="292">
        <v>2</v>
      </c>
      <c r="L589" s="292">
        <v>883334</v>
      </c>
    </row>
    <row r="590" spans="1:12" x14ac:dyDescent="0.25">
      <c r="A590" s="83" t="s">
        <v>391</v>
      </c>
      <c r="B590" s="213" t="s">
        <v>326</v>
      </c>
      <c r="C590" s="213" t="s">
        <v>327</v>
      </c>
      <c r="D590" s="83">
        <v>218</v>
      </c>
      <c r="E590" s="280">
        <v>3819044</v>
      </c>
      <c r="F590" s="280">
        <v>3199438</v>
      </c>
      <c r="G590" s="191" t="s">
        <v>140</v>
      </c>
      <c r="H590" s="292">
        <v>619606</v>
      </c>
      <c r="I590" s="292">
        <v>0</v>
      </c>
      <c r="J590" s="292">
        <v>0</v>
      </c>
      <c r="K590" s="292">
        <v>0</v>
      </c>
      <c r="L590" s="292">
        <v>619606</v>
      </c>
    </row>
    <row r="591" spans="1:12" x14ac:dyDescent="0.25">
      <c r="A591" s="83" t="s">
        <v>391</v>
      </c>
      <c r="B591" s="213" t="s">
        <v>84</v>
      </c>
      <c r="C591" s="213" t="s">
        <v>24</v>
      </c>
      <c r="D591" s="83">
        <v>350</v>
      </c>
      <c r="E591" s="280">
        <v>51370</v>
      </c>
      <c r="F591" s="280">
        <v>39338</v>
      </c>
      <c r="G591" s="191" t="s">
        <v>140</v>
      </c>
      <c r="H591" s="292">
        <v>12032</v>
      </c>
      <c r="I591" s="292">
        <v>0</v>
      </c>
      <c r="J591" s="292">
        <v>0</v>
      </c>
      <c r="K591" s="292">
        <v>0</v>
      </c>
      <c r="L591" s="292">
        <v>12032</v>
      </c>
    </row>
    <row r="592" spans="1:12" x14ac:dyDescent="0.25">
      <c r="A592" s="83" t="s">
        <v>391</v>
      </c>
      <c r="B592" s="213" t="s">
        <v>459</v>
      </c>
      <c r="C592" s="213" t="s">
        <v>460</v>
      </c>
      <c r="D592" s="83">
        <v>173</v>
      </c>
      <c r="E592" s="280">
        <v>1914565</v>
      </c>
      <c r="F592" s="280">
        <v>1846192</v>
      </c>
      <c r="G592" s="191" t="s">
        <v>140</v>
      </c>
      <c r="H592" s="292">
        <v>68373</v>
      </c>
      <c r="I592" s="292">
        <v>2</v>
      </c>
      <c r="J592" s="292">
        <v>0</v>
      </c>
      <c r="K592" s="292">
        <v>2</v>
      </c>
      <c r="L592" s="292">
        <v>68371</v>
      </c>
    </row>
    <row r="593" spans="1:12" x14ac:dyDescent="0.25">
      <c r="A593" s="83" t="s">
        <v>391</v>
      </c>
      <c r="B593" s="213" t="s">
        <v>493</v>
      </c>
      <c r="C593" s="213" t="s">
        <v>494</v>
      </c>
      <c r="D593" s="83">
        <v>335</v>
      </c>
      <c r="E593" s="280">
        <v>52155</v>
      </c>
      <c r="F593" s="280">
        <v>50686</v>
      </c>
      <c r="G593" s="191" t="s">
        <v>140</v>
      </c>
      <c r="H593" s="292">
        <v>1469</v>
      </c>
      <c r="I593" s="292">
        <v>0</v>
      </c>
      <c r="J593" s="292">
        <v>0</v>
      </c>
      <c r="K593" s="292">
        <v>0</v>
      </c>
      <c r="L593" s="292">
        <v>1469</v>
      </c>
    </row>
    <row r="594" spans="1:12" ht="45.75" x14ac:dyDescent="0.25">
      <c r="A594" s="83" t="s">
        <v>391</v>
      </c>
      <c r="B594" s="213" t="s">
        <v>498</v>
      </c>
      <c r="C594" s="213" t="s">
        <v>499</v>
      </c>
      <c r="D594" s="83">
        <v>329</v>
      </c>
      <c r="E594" s="280">
        <v>1130326</v>
      </c>
      <c r="F594" s="280">
        <v>964197</v>
      </c>
      <c r="G594" s="191" t="s">
        <v>140</v>
      </c>
      <c r="H594" s="292">
        <v>166129</v>
      </c>
      <c r="I594" s="292">
        <v>0</v>
      </c>
      <c r="J594" s="292">
        <v>0</v>
      </c>
      <c r="K594" s="292">
        <v>0</v>
      </c>
      <c r="L594" s="292">
        <v>166129</v>
      </c>
    </row>
    <row r="595" spans="1:12" ht="15" customHeight="1" x14ac:dyDescent="0.25">
      <c r="A595" s="83" t="s">
        <v>391</v>
      </c>
      <c r="B595" s="213" t="s">
        <v>466</v>
      </c>
      <c r="C595" s="213" t="s">
        <v>467</v>
      </c>
      <c r="D595" s="83">
        <v>261</v>
      </c>
      <c r="E595" s="280">
        <v>840768</v>
      </c>
      <c r="F595" s="280">
        <v>814684</v>
      </c>
      <c r="G595" s="191" t="s">
        <v>140</v>
      </c>
      <c r="H595" s="292">
        <v>26084</v>
      </c>
      <c r="I595" s="292">
        <v>2</v>
      </c>
      <c r="J595" s="292">
        <v>0</v>
      </c>
      <c r="K595" s="292">
        <v>2</v>
      </c>
      <c r="L595" s="292">
        <v>26082</v>
      </c>
    </row>
    <row r="596" spans="1:12" ht="15" customHeight="1" x14ac:dyDescent="0.25">
      <c r="A596" s="83" t="s">
        <v>391</v>
      </c>
      <c r="B596" s="213" t="s">
        <v>461</v>
      </c>
      <c r="C596" s="213" t="s">
        <v>25</v>
      </c>
      <c r="D596" s="83">
        <v>244</v>
      </c>
      <c r="E596" s="280">
        <v>2791621</v>
      </c>
      <c r="F596" s="280">
        <v>2744445</v>
      </c>
      <c r="G596" s="191" t="s">
        <v>140</v>
      </c>
      <c r="H596" s="292">
        <v>47176</v>
      </c>
      <c r="I596" s="292">
        <v>0</v>
      </c>
      <c r="J596" s="292">
        <v>0</v>
      </c>
      <c r="K596" s="292">
        <v>0</v>
      </c>
      <c r="L596" s="292">
        <v>47176</v>
      </c>
    </row>
    <row r="597" spans="1:12" ht="15" customHeight="1" x14ac:dyDescent="0.25">
      <c r="A597" s="83" t="s">
        <v>391</v>
      </c>
      <c r="B597" s="213" t="s">
        <v>511</v>
      </c>
      <c r="C597" s="213" t="s">
        <v>512</v>
      </c>
      <c r="D597" s="83">
        <v>182</v>
      </c>
      <c r="E597" s="280">
        <v>90993</v>
      </c>
      <c r="F597" s="280">
        <v>85092</v>
      </c>
      <c r="G597" s="191" t="s">
        <v>140</v>
      </c>
      <c r="H597" s="292">
        <v>5901</v>
      </c>
      <c r="I597" s="292">
        <v>0</v>
      </c>
      <c r="J597" s="292">
        <v>0</v>
      </c>
      <c r="K597" s="292">
        <v>0</v>
      </c>
      <c r="L597" s="292">
        <v>5901</v>
      </c>
    </row>
    <row r="598" spans="1:12" x14ac:dyDescent="0.25">
      <c r="A598" s="83" t="s">
        <v>391</v>
      </c>
      <c r="B598" s="213" t="s">
        <v>477</v>
      </c>
      <c r="C598" s="213" t="s">
        <v>17</v>
      </c>
      <c r="D598" s="83">
        <v>280</v>
      </c>
      <c r="E598" s="280">
        <v>23080</v>
      </c>
      <c r="F598" s="280">
        <v>9194</v>
      </c>
      <c r="G598" s="191" t="s">
        <v>140</v>
      </c>
      <c r="H598" s="292">
        <v>13886</v>
      </c>
      <c r="I598" s="292">
        <v>0</v>
      </c>
      <c r="J598" s="292">
        <v>0</v>
      </c>
      <c r="K598" s="292">
        <v>0</v>
      </c>
      <c r="L598" s="292">
        <v>13886</v>
      </c>
    </row>
    <row r="599" spans="1:12" ht="30.75" x14ac:dyDescent="0.25">
      <c r="A599" s="83" t="s">
        <v>391</v>
      </c>
      <c r="B599" s="213" t="s">
        <v>500</v>
      </c>
      <c r="C599" s="213" t="s">
        <v>11</v>
      </c>
      <c r="D599" s="83">
        <v>176</v>
      </c>
      <c r="E599" s="280">
        <v>7082086</v>
      </c>
      <c r="F599" s="280">
        <v>6048055</v>
      </c>
      <c r="G599" s="191" t="s">
        <v>140</v>
      </c>
      <c r="H599" s="292">
        <v>1034031</v>
      </c>
      <c r="I599" s="292">
        <v>22</v>
      </c>
      <c r="J599" s="292">
        <v>21</v>
      </c>
      <c r="K599" s="292">
        <v>1</v>
      </c>
      <c r="L599" s="292">
        <v>1034030</v>
      </c>
    </row>
    <row r="600" spans="1:12" x14ac:dyDescent="0.25">
      <c r="A600" s="83" t="s">
        <v>391</v>
      </c>
      <c r="B600" s="213" t="s">
        <v>507</v>
      </c>
      <c r="C600" s="213" t="s">
        <v>508</v>
      </c>
      <c r="D600" s="83">
        <v>57</v>
      </c>
      <c r="E600" s="280">
        <v>1377233</v>
      </c>
      <c r="F600" s="280">
        <v>1090334</v>
      </c>
      <c r="G600" s="191" t="s">
        <v>140</v>
      </c>
      <c r="H600" s="292">
        <v>286899</v>
      </c>
      <c r="I600" s="292">
        <v>0</v>
      </c>
      <c r="J600" s="292">
        <v>0</v>
      </c>
      <c r="K600" s="292">
        <v>0</v>
      </c>
      <c r="L600" s="292">
        <v>286899</v>
      </c>
    </row>
    <row r="601" spans="1:12" x14ac:dyDescent="0.25">
      <c r="A601" s="83" t="s">
        <v>391</v>
      </c>
      <c r="B601" s="213" t="s">
        <v>85</v>
      </c>
      <c r="C601" s="213" t="s">
        <v>26</v>
      </c>
      <c r="D601" s="83">
        <v>171</v>
      </c>
      <c r="E601" s="280">
        <v>2194019</v>
      </c>
      <c r="F601" s="280">
        <v>1998085</v>
      </c>
      <c r="G601" s="191" t="s">
        <v>140</v>
      </c>
      <c r="H601" s="292">
        <v>195934</v>
      </c>
      <c r="I601" s="292">
        <v>0</v>
      </c>
      <c r="J601" s="292">
        <v>0</v>
      </c>
      <c r="K601" s="292">
        <v>0</v>
      </c>
      <c r="L601" s="292">
        <v>195934</v>
      </c>
    </row>
    <row r="602" spans="1:12" ht="30.75" x14ac:dyDescent="0.25">
      <c r="A602" s="83" t="s">
        <v>391</v>
      </c>
      <c r="B602" s="213" t="s">
        <v>86</v>
      </c>
      <c r="C602" s="213" t="s">
        <v>25</v>
      </c>
      <c r="D602" s="83">
        <v>258</v>
      </c>
      <c r="E602" s="280">
        <v>3252118</v>
      </c>
      <c r="F602" s="280">
        <v>2699148</v>
      </c>
      <c r="G602" s="191" t="s">
        <v>140</v>
      </c>
      <c r="H602" s="292">
        <v>552970</v>
      </c>
      <c r="I602" s="292">
        <v>1</v>
      </c>
      <c r="J602" s="292">
        <v>0</v>
      </c>
      <c r="K602" s="292">
        <v>1</v>
      </c>
      <c r="L602" s="292">
        <v>552969</v>
      </c>
    </row>
    <row r="603" spans="1:12" x14ac:dyDescent="0.25">
      <c r="A603" s="83" t="s">
        <v>391</v>
      </c>
      <c r="B603" s="213" t="s">
        <v>478</v>
      </c>
      <c r="C603" s="213" t="s">
        <v>479</v>
      </c>
      <c r="D603" s="83">
        <v>228</v>
      </c>
      <c r="E603" s="280">
        <v>47447</v>
      </c>
      <c r="F603" s="280">
        <v>12735</v>
      </c>
      <c r="G603" s="191" t="s">
        <v>140</v>
      </c>
      <c r="H603" s="292">
        <v>34712</v>
      </c>
      <c r="I603" s="292">
        <v>0</v>
      </c>
      <c r="J603" s="292">
        <v>0</v>
      </c>
      <c r="K603" s="292">
        <v>0</v>
      </c>
      <c r="L603" s="292">
        <v>34712</v>
      </c>
    </row>
    <row r="604" spans="1:12" x14ac:dyDescent="0.25">
      <c r="A604" s="83" t="s">
        <v>391</v>
      </c>
      <c r="B604" s="213" t="s">
        <v>509</v>
      </c>
      <c r="C604" s="213" t="s">
        <v>510</v>
      </c>
      <c r="D604" s="83">
        <v>58</v>
      </c>
      <c r="E604" s="280">
        <v>3358948</v>
      </c>
      <c r="F604" s="280">
        <v>3271536</v>
      </c>
      <c r="G604" s="191" t="s">
        <v>140</v>
      </c>
      <c r="H604" s="292">
        <v>87412</v>
      </c>
      <c r="I604" s="292">
        <v>2</v>
      </c>
      <c r="J604" s="292">
        <v>0</v>
      </c>
      <c r="K604" s="292">
        <v>2</v>
      </c>
      <c r="L604" s="292">
        <v>87410</v>
      </c>
    </row>
    <row r="605" spans="1:12" x14ac:dyDescent="0.25">
      <c r="A605" s="83" t="s">
        <v>391</v>
      </c>
      <c r="B605" s="213" t="s">
        <v>480</v>
      </c>
      <c r="C605" s="213" t="s">
        <v>481</v>
      </c>
      <c r="D605" s="83">
        <v>308</v>
      </c>
      <c r="E605" s="280">
        <v>124119</v>
      </c>
      <c r="F605" s="280">
        <v>55815</v>
      </c>
      <c r="G605" s="191" t="s">
        <v>140</v>
      </c>
      <c r="H605" s="292">
        <v>68304</v>
      </c>
      <c r="I605" s="292">
        <v>0</v>
      </c>
      <c r="J605" s="292">
        <v>0</v>
      </c>
      <c r="K605" s="292">
        <v>0</v>
      </c>
      <c r="L605" s="292">
        <v>68304</v>
      </c>
    </row>
    <row r="606" spans="1:12" x14ac:dyDescent="0.25">
      <c r="A606" s="83" t="s">
        <v>391</v>
      </c>
      <c r="B606" s="213" t="s">
        <v>87</v>
      </c>
      <c r="C606" s="213" t="s">
        <v>17</v>
      </c>
      <c r="D606" s="83">
        <v>260</v>
      </c>
      <c r="E606" s="280">
        <v>19376634</v>
      </c>
      <c r="F606" s="280">
        <v>17627080</v>
      </c>
      <c r="G606" s="191" t="s">
        <v>140</v>
      </c>
      <c r="H606" s="292">
        <v>1749554</v>
      </c>
      <c r="I606" s="292">
        <v>1086531</v>
      </c>
      <c r="J606" s="292">
        <v>1086531</v>
      </c>
      <c r="K606" s="292">
        <v>0</v>
      </c>
      <c r="L606" s="292">
        <v>1749554</v>
      </c>
    </row>
    <row r="607" spans="1:12" x14ac:dyDescent="0.25">
      <c r="A607" s="83" t="s">
        <v>391</v>
      </c>
      <c r="B607" s="213" t="s">
        <v>462</v>
      </c>
      <c r="C607" s="213" t="s">
        <v>463</v>
      </c>
      <c r="D607" s="83">
        <v>346</v>
      </c>
      <c r="E607" s="280">
        <v>9782</v>
      </c>
      <c r="F607" s="280">
        <v>8596</v>
      </c>
      <c r="G607" s="191" t="s">
        <v>140</v>
      </c>
      <c r="H607" s="292">
        <v>1186</v>
      </c>
      <c r="I607" s="292">
        <v>0</v>
      </c>
      <c r="J607" s="292">
        <v>0</v>
      </c>
      <c r="K607" s="292">
        <v>0</v>
      </c>
      <c r="L607" s="292">
        <v>1186</v>
      </c>
    </row>
    <row r="608" spans="1:12" x14ac:dyDescent="0.25">
      <c r="A608" s="83" t="s">
        <v>391</v>
      </c>
      <c r="B608" s="213" t="s">
        <v>89</v>
      </c>
      <c r="C608" s="213" t="s">
        <v>28</v>
      </c>
      <c r="D608" s="83">
        <v>351</v>
      </c>
      <c r="E608" s="280">
        <v>91173</v>
      </c>
      <c r="F608" s="280">
        <v>85157</v>
      </c>
      <c r="G608" s="191" t="s">
        <v>140</v>
      </c>
      <c r="H608" s="292">
        <v>6016</v>
      </c>
      <c r="I608" s="292">
        <v>0</v>
      </c>
      <c r="J608" s="292">
        <v>0</v>
      </c>
      <c r="K608" s="292">
        <v>0</v>
      </c>
      <c r="L608" s="292">
        <v>6016</v>
      </c>
    </row>
    <row r="609" spans="1:12" ht="15.75" customHeight="1" x14ac:dyDescent="0.25">
      <c r="A609" s="199" t="s">
        <v>396</v>
      </c>
      <c r="B609" s="214" t="s">
        <v>140</v>
      </c>
      <c r="C609" s="214" t="s">
        <v>140</v>
      </c>
      <c r="D609" s="214" t="s">
        <v>140</v>
      </c>
      <c r="E609" s="293">
        <f>SUBTOTAL(109,school200708[Program
Costs])</f>
        <v>479521182</v>
      </c>
      <c r="F609" s="293">
        <f>SUBTOTAL(109,school200708[Less: Net Payments and Offsets2])</f>
        <v>392806553</v>
      </c>
      <c r="G609" s="214" t="s">
        <v>140</v>
      </c>
      <c r="H609" s="293">
        <f>SUBTOTAL(109,school200708[Accounts Payable
Balance])</f>
        <v>86714629</v>
      </c>
      <c r="I609" s="293">
        <f>SUBTOTAL(109,school200708[Established
Accounts Receivable])</f>
        <v>1087600</v>
      </c>
      <c r="J609" s="293">
        <f>SUBTOTAL(109,school200708[Less: Recovered Amount])</f>
        <v>1086573</v>
      </c>
      <c r="K609" s="293">
        <f>SUBTOTAL(109,school200708[Accounts Receivable
Balance])</f>
        <v>1027</v>
      </c>
      <c r="L609" s="293">
        <f>SUBTOTAL(109,school200708[Net
Balance])</f>
        <v>86713602</v>
      </c>
    </row>
    <row r="610" spans="1:12" x14ac:dyDescent="0.25">
      <c r="A610" s="195" t="s">
        <v>141</v>
      </c>
      <c r="B610" s="142"/>
      <c r="C610" s="142"/>
      <c r="D610" s="142"/>
      <c r="E610" s="26"/>
      <c r="F610" s="26"/>
      <c r="G610" s="196"/>
      <c r="H610" s="26"/>
      <c r="I610" s="26"/>
      <c r="J610" s="26"/>
      <c r="K610" s="26"/>
      <c r="L610" s="26"/>
    </row>
    <row r="611" spans="1:12" ht="50.1" customHeight="1" x14ac:dyDescent="0.25">
      <c r="A611" s="10" t="s">
        <v>5</v>
      </c>
      <c r="B611" s="10" t="s">
        <v>6</v>
      </c>
      <c r="C611" s="10" t="s">
        <v>0</v>
      </c>
      <c r="D611" s="10" t="s">
        <v>441</v>
      </c>
      <c r="E611" s="215" t="s">
        <v>234</v>
      </c>
      <c r="F611" s="216" t="s">
        <v>452</v>
      </c>
      <c r="G611" s="217" t="s">
        <v>142</v>
      </c>
      <c r="H611" s="215" t="s">
        <v>444</v>
      </c>
      <c r="I611" s="215" t="s">
        <v>445</v>
      </c>
      <c r="J611" s="215" t="s">
        <v>446</v>
      </c>
      <c r="K611" s="215" t="s">
        <v>447</v>
      </c>
      <c r="L611" s="215" t="s">
        <v>305</v>
      </c>
    </row>
    <row r="612" spans="1:12" x14ac:dyDescent="0.25">
      <c r="A612" s="83" t="s">
        <v>397</v>
      </c>
      <c r="B612" s="213" t="s">
        <v>468</v>
      </c>
      <c r="C612" s="213" t="s">
        <v>469</v>
      </c>
      <c r="D612" s="83">
        <v>305</v>
      </c>
      <c r="E612" s="280">
        <v>110375</v>
      </c>
      <c r="F612" s="280">
        <v>106797</v>
      </c>
      <c r="G612" s="191" t="s">
        <v>140</v>
      </c>
      <c r="H612" s="292">
        <v>3578</v>
      </c>
      <c r="I612" s="292">
        <v>0</v>
      </c>
      <c r="J612" s="292">
        <v>0</v>
      </c>
      <c r="K612" s="292">
        <v>0</v>
      </c>
      <c r="L612" s="292">
        <v>3578</v>
      </c>
    </row>
    <row r="613" spans="1:12" x14ac:dyDescent="0.25">
      <c r="A613" s="83" t="s">
        <v>397</v>
      </c>
      <c r="B613" s="213" t="s">
        <v>501</v>
      </c>
      <c r="C613" s="213" t="s">
        <v>502</v>
      </c>
      <c r="D613" s="83">
        <v>269</v>
      </c>
      <c r="E613" s="280">
        <v>6011</v>
      </c>
      <c r="F613" s="280">
        <v>4843</v>
      </c>
      <c r="G613" s="191" t="s">
        <v>140</v>
      </c>
      <c r="H613" s="292">
        <v>1168</v>
      </c>
      <c r="I613" s="292">
        <v>0</v>
      </c>
      <c r="J613" s="292">
        <v>0</v>
      </c>
      <c r="K613" s="292">
        <v>0</v>
      </c>
      <c r="L613" s="292">
        <v>1168</v>
      </c>
    </row>
    <row r="614" spans="1:12" ht="30.75" x14ac:dyDescent="0.25">
      <c r="A614" s="83" t="s">
        <v>397</v>
      </c>
      <c r="B614" s="213" t="s">
        <v>66</v>
      </c>
      <c r="C614" s="213" t="s">
        <v>7</v>
      </c>
      <c r="D614" s="83">
        <v>250</v>
      </c>
      <c r="E614" s="280">
        <v>1560401</v>
      </c>
      <c r="F614" s="280">
        <v>1454516</v>
      </c>
      <c r="G614" s="191" t="s">
        <v>140</v>
      </c>
      <c r="H614" s="292">
        <v>105885</v>
      </c>
      <c r="I614" s="292">
        <v>54327</v>
      </c>
      <c r="J614" s="292">
        <v>52385</v>
      </c>
      <c r="K614" s="292">
        <v>1942</v>
      </c>
      <c r="L614" s="292">
        <v>103943</v>
      </c>
    </row>
    <row r="615" spans="1:12" ht="30.75" x14ac:dyDescent="0.25">
      <c r="A615" s="83" t="s">
        <v>397</v>
      </c>
      <c r="B615" s="213" t="s">
        <v>495</v>
      </c>
      <c r="C615" s="213" t="s">
        <v>490</v>
      </c>
      <c r="D615" s="83">
        <v>348</v>
      </c>
      <c r="E615" s="280">
        <v>50727286</v>
      </c>
      <c r="F615" s="280">
        <v>43697065</v>
      </c>
      <c r="G615" s="191" t="s">
        <v>140</v>
      </c>
      <c r="H615" s="292">
        <v>7030221</v>
      </c>
      <c r="I615" s="292">
        <v>0</v>
      </c>
      <c r="J615" s="292">
        <v>0</v>
      </c>
      <c r="K615" s="292">
        <v>0</v>
      </c>
      <c r="L615" s="292">
        <v>7030221</v>
      </c>
    </row>
    <row r="616" spans="1:12" ht="30.75" x14ac:dyDescent="0.25">
      <c r="A616" s="83" t="s">
        <v>397</v>
      </c>
      <c r="B616" s="213" t="s">
        <v>483</v>
      </c>
      <c r="C616" s="213" t="s">
        <v>484</v>
      </c>
      <c r="D616" s="83">
        <v>286</v>
      </c>
      <c r="E616" s="280">
        <v>87725</v>
      </c>
      <c r="F616" s="280">
        <v>61922</v>
      </c>
      <c r="G616" s="191" t="s">
        <v>140</v>
      </c>
      <c r="H616" s="292">
        <v>25803</v>
      </c>
      <c r="I616" s="292">
        <v>0</v>
      </c>
      <c r="J616" s="292">
        <v>0</v>
      </c>
      <c r="K616" s="292">
        <v>0</v>
      </c>
      <c r="L616" s="292">
        <v>25803</v>
      </c>
    </row>
    <row r="617" spans="1:12" ht="30.75" x14ac:dyDescent="0.25">
      <c r="A617" s="83" t="s">
        <v>397</v>
      </c>
      <c r="B617" s="213" t="s">
        <v>69</v>
      </c>
      <c r="C617" s="213" t="s">
        <v>10</v>
      </c>
      <c r="D617" s="83">
        <v>172</v>
      </c>
      <c r="E617" s="280">
        <v>713312</v>
      </c>
      <c r="F617" s="280">
        <v>650007</v>
      </c>
      <c r="G617" s="191" t="s">
        <v>140</v>
      </c>
      <c r="H617" s="292">
        <v>63305</v>
      </c>
      <c r="I617" s="292">
        <v>28693</v>
      </c>
      <c r="J617" s="292">
        <v>15027</v>
      </c>
      <c r="K617" s="292">
        <v>13666</v>
      </c>
      <c r="L617" s="292">
        <v>49639</v>
      </c>
    </row>
    <row r="618" spans="1:12" x14ac:dyDescent="0.25">
      <c r="A618" s="83" t="s">
        <v>397</v>
      </c>
      <c r="B618" s="213" t="s">
        <v>520</v>
      </c>
      <c r="C618" s="213" t="s">
        <v>521</v>
      </c>
      <c r="D618" s="83">
        <v>249</v>
      </c>
      <c r="E618" s="280">
        <v>2310086</v>
      </c>
      <c r="F618" s="280">
        <v>2072028</v>
      </c>
      <c r="G618" s="191" t="s">
        <v>140</v>
      </c>
      <c r="H618" s="292">
        <v>238058</v>
      </c>
      <c r="I618" s="292">
        <v>20038</v>
      </c>
      <c r="J618" s="292">
        <v>20038</v>
      </c>
      <c r="K618" s="292">
        <v>0</v>
      </c>
      <c r="L618" s="292">
        <v>238058</v>
      </c>
    </row>
    <row r="619" spans="1:12" x14ac:dyDescent="0.25">
      <c r="A619" s="83" t="s">
        <v>397</v>
      </c>
      <c r="B619" s="213" t="s">
        <v>522</v>
      </c>
      <c r="C619" s="213" t="s">
        <v>521</v>
      </c>
      <c r="D619" s="83">
        <v>277</v>
      </c>
      <c r="E619" s="280">
        <v>84983</v>
      </c>
      <c r="F619" s="280">
        <v>83679</v>
      </c>
      <c r="G619" s="191" t="s">
        <v>140</v>
      </c>
      <c r="H619" s="292">
        <v>1304</v>
      </c>
      <c r="I619" s="292">
        <v>0</v>
      </c>
      <c r="J619" s="292">
        <v>0</v>
      </c>
      <c r="K619" s="292">
        <v>0</v>
      </c>
      <c r="L619" s="292">
        <v>1304</v>
      </c>
    </row>
    <row r="620" spans="1:12" ht="30.75" x14ac:dyDescent="0.25">
      <c r="A620" s="83" t="s">
        <v>397</v>
      </c>
      <c r="B620" s="213" t="s">
        <v>72</v>
      </c>
      <c r="C620" s="213" t="s">
        <v>13</v>
      </c>
      <c r="D620" s="83">
        <v>11</v>
      </c>
      <c r="E620" s="280">
        <v>27712461</v>
      </c>
      <c r="F620" s="280">
        <v>25951794</v>
      </c>
      <c r="G620" s="191" t="s">
        <v>140</v>
      </c>
      <c r="H620" s="292">
        <v>1760667</v>
      </c>
      <c r="I620" s="292">
        <v>147591</v>
      </c>
      <c r="J620" s="292">
        <v>118837</v>
      </c>
      <c r="K620" s="292">
        <v>28754</v>
      </c>
      <c r="L620" s="292">
        <v>1731913</v>
      </c>
    </row>
    <row r="621" spans="1:12" x14ac:dyDescent="0.25">
      <c r="A621" s="83" t="s">
        <v>397</v>
      </c>
      <c r="B621" s="213" t="s">
        <v>513</v>
      </c>
      <c r="C621" s="213" t="s">
        <v>14</v>
      </c>
      <c r="D621" s="83">
        <v>223</v>
      </c>
      <c r="E621" s="280">
        <v>3840616</v>
      </c>
      <c r="F621" s="280">
        <v>3651128</v>
      </c>
      <c r="G621" s="191" t="s">
        <v>140</v>
      </c>
      <c r="H621" s="292">
        <v>189488</v>
      </c>
      <c r="I621" s="292">
        <v>93330</v>
      </c>
      <c r="J621" s="292">
        <v>46371</v>
      </c>
      <c r="K621" s="292">
        <v>46959</v>
      </c>
      <c r="L621" s="292">
        <v>142529</v>
      </c>
    </row>
    <row r="622" spans="1:12" ht="45.75" x14ac:dyDescent="0.25">
      <c r="A622" s="83" t="s">
        <v>397</v>
      </c>
      <c r="B622" s="213" t="s">
        <v>67</v>
      </c>
      <c r="C622" s="213" t="s">
        <v>8</v>
      </c>
      <c r="D622" s="83">
        <v>272</v>
      </c>
      <c r="E622" s="280">
        <v>9087987</v>
      </c>
      <c r="F622" s="280">
        <v>8656133</v>
      </c>
      <c r="G622" s="191" t="s">
        <v>140</v>
      </c>
      <c r="H622" s="292">
        <v>431854</v>
      </c>
      <c r="I622" s="292">
        <v>55256</v>
      </c>
      <c r="J622" s="292">
        <v>49366</v>
      </c>
      <c r="K622" s="292">
        <v>5890</v>
      </c>
      <c r="L622" s="292">
        <v>425964</v>
      </c>
    </row>
    <row r="623" spans="1:12" ht="45.75" x14ac:dyDescent="0.25">
      <c r="A623" s="83" t="s">
        <v>397</v>
      </c>
      <c r="B623" s="213" t="s">
        <v>516</v>
      </c>
      <c r="C623" s="213" t="s">
        <v>517</v>
      </c>
      <c r="D623" s="83">
        <v>291</v>
      </c>
      <c r="E623" s="280">
        <v>215949</v>
      </c>
      <c r="F623" s="280">
        <v>138573</v>
      </c>
      <c r="G623" s="191" t="s">
        <v>140</v>
      </c>
      <c r="H623" s="292">
        <v>77376</v>
      </c>
      <c r="I623" s="292">
        <v>0</v>
      </c>
      <c r="J623" s="292">
        <v>0</v>
      </c>
      <c r="K623" s="292">
        <v>0</v>
      </c>
      <c r="L623" s="292">
        <v>77376</v>
      </c>
    </row>
    <row r="624" spans="1:12" ht="30.75" x14ac:dyDescent="0.25">
      <c r="A624" s="83" t="s">
        <v>397</v>
      </c>
      <c r="B624" s="213" t="s">
        <v>71</v>
      </c>
      <c r="C624" s="213" t="s">
        <v>12</v>
      </c>
      <c r="D624" s="83">
        <v>209</v>
      </c>
      <c r="E624" s="280">
        <v>271074</v>
      </c>
      <c r="F624" s="280">
        <v>209349</v>
      </c>
      <c r="G624" s="191" t="s">
        <v>140</v>
      </c>
      <c r="H624" s="292">
        <v>61725</v>
      </c>
      <c r="I624" s="292">
        <v>15158</v>
      </c>
      <c r="J624" s="292">
        <v>15158</v>
      </c>
      <c r="K624" s="292">
        <v>0</v>
      </c>
      <c r="L624" s="292">
        <v>61725</v>
      </c>
    </row>
    <row r="625" spans="1:12" ht="15" customHeight="1" x14ac:dyDescent="0.25">
      <c r="A625" s="83" t="s">
        <v>397</v>
      </c>
      <c r="B625" s="213" t="s">
        <v>74</v>
      </c>
      <c r="C625" s="213" t="s">
        <v>15</v>
      </c>
      <c r="D625" s="83">
        <v>183</v>
      </c>
      <c r="E625" s="280">
        <v>814197</v>
      </c>
      <c r="F625" s="280">
        <v>747791</v>
      </c>
      <c r="G625" s="191" t="s">
        <v>140</v>
      </c>
      <c r="H625" s="292">
        <v>66406</v>
      </c>
      <c r="I625" s="292">
        <v>40116</v>
      </c>
      <c r="J625" s="292">
        <v>39635</v>
      </c>
      <c r="K625" s="292">
        <v>481</v>
      </c>
      <c r="L625" s="292">
        <v>65925</v>
      </c>
    </row>
    <row r="626" spans="1:12" x14ac:dyDescent="0.25">
      <c r="A626" s="83" t="s">
        <v>397</v>
      </c>
      <c r="B626" s="213" t="s">
        <v>455</v>
      </c>
      <c r="C626" s="213" t="s">
        <v>456</v>
      </c>
      <c r="D626" s="83">
        <v>251</v>
      </c>
      <c r="E626" s="280">
        <v>550864</v>
      </c>
      <c r="F626" s="280">
        <v>508168</v>
      </c>
      <c r="G626" s="191" t="s">
        <v>140</v>
      </c>
      <c r="H626" s="292">
        <v>42696</v>
      </c>
      <c r="I626" s="292">
        <v>6681</v>
      </c>
      <c r="J626" s="292">
        <v>4892</v>
      </c>
      <c r="K626" s="292">
        <v>1789</v>
      </c>
      <c r="L626" s="292">
        <v>40907</v>
      </c>
    </row>
    <row r="627" spans="1:12" x14ac:dyDescent="0.25">
      <c r="A627" s="83" t="s">
        <v>397</v>
      </c>
      <c r="B627" s="213" t="s">
        <v>523</v>
      </c>
      <c r="C627" s="213" t="s">
        <v>524</v>
      </c>
      <c r="D627" s="83">
        <v>253</v>
      </c>
      <c r="E627" s="280">
        <v>2919</v>
      </c>
      <c r="F627" s="280">
        <v>2919</v>
      </c>
      <c r="G627" s="191" t="s">
        <v>140</v>
      </c>
      <c r="H627" s="292">
        <v>0</v>
      </c>
      <c r="I627" s="292">
        <v>1262</v>
      </c>
      <c r="J627" s="292">
        <v>0</v>
      </c>
      <c r="K627" s="292">
        <v>1262</v>
      </c>
      <c r="L627" s="292">
        <v>-1262</v>
      </c>
    </row>
    <row r="628" spans="1:12" ht="30.75" customHeight="1" x14ac:dyDescent="0.25">
      <c r="A628" s="83" t="s">
        <v>397</v>
      </c>
      <c r="B628" s="213" t="s">
        <v>472</v>
      </c>
      <c r="C628" s="213" t="s">
        <v>11</v>
      </c>
      <c r="D628" s="83">
        <v>91</v>
      </c>
      <c r="E628" s="280">
        <v>14079</v>
      </c>
      <c r="F628" s="280">
        <v>12534</v>
      </c>
      <c r="G628" s="191" t="s">
        <v>140</v>
      </c>
      <c r="H628" s="292">
        <v>1545</v>
      </c>
      <c r="I628" s="292">
        <v>0</v>
      </c>
      <c r="J628" s="292">
        <v>0</v>
      </c>
      <c r="K628" s="292">
        <v>0</v>
      </c>
      <c r="L628" s="292">
        <v>1545</v>
      </c>
    </row>
    <row r="629" spans="1:12" x14ac:dyDescent="0.25">
      <c r="A629" s="83" t="s">
        <v>397</v>
      </c>
      <c r="B629" s="213" t="s">
        <v>75</v>
      </c>
      <c r="C629" s="213" t="s">
        <v>16</v>
      </c>
      <c r="D629" s="83">
        <v>192</v>
      </c>
      <c r="E629" s="280">
        <v>386700</v>
      </c>
      <c r="F629" s="280">
        <v>337072</v>
      </c>
      <c r="G629" s="191" t="s">
        <v>140</v>
      </c>
      <c r="H629" s="292">
        <v>49628</v>
      </c>
      <c r="I629" s="292">
        <v>16641</v>
      </c>
      <c r="J629" s="292">
        <v>15516</v>
      </c>
      <c r="K629" s="292">
        <v>1125</v>
      </c>
      <c r="L629" s="292">
        <v>48503</v>
      </c>
    </row>
    <row r="630" spans="1:12" x14ac:dyDescent="0.25">
      <c r="A630" s="83" t="s">
        <v>397</v>
      </c>
      <c r="B630" s="213" t="s">
        <v>518</v>
      </c>
      <c r="C630" s="213" t="s">
        <v>17</v>
      </c>
      <c r="D630" s="83">
        <v>26</v>
      </c>
      <c r="E630" s="280">
        <v>65296715</v>
      </c>
      <c r="F630" s="280">
        <v>59462481</v>
      </c>
      <c r="G630" s="191" t="s">
        <v>140</v>
      </c>
      <c r="H630" s="292">
        <v>5834234</v>
      </c>
      <c r="I630" s="292">
        <v>484254</v>
      </c>
      <c r="J630" s="292">
        <v>19323</v>
      </c>
      <c r="K630" s="292">
        <v>464931</v>
      </c>
      <c r="L630" s="292">
        <v>5369303</v>
      </c>
    </row>
    <row r="631" spans="1:12" ht="30.75" x14ac:dyDescent="0.25">
      <c r="A631" s="83" t="s">
        <v>397</v>
      </c>
      <c r="B631" s="213" t="s">
        <v>76</v>
      </c>
      <c r="C631" s="213" t="s">
        <v>17</v>
      </c>
      <c r="D631" s="83">
        <v>297</v>
      </c>
      <c r="E631" s="280">
        <v>173189364</v>
      </c>
      <c r="F631" s="280">
        <v>139389904</v>
      </c>
      <c r="G631" s="191" t="s">
        <v>140</v>
      </c>
      <c r="H631" s="292">
        <v>33799460</v>
      </c>
      <c r="I631" s="292">
        <v>0</v>
      </c>
      <c r="J631" s="292">
        <v>0</v>
      </c>
      <c r="K631" s="292">
        <v>0</v>
      </c>
      <c r="L631" s="292">
        <v>33799460</v>
      </c>
    </row>
    <row r="632" spans="1:12" x14ac:dyDescent="0.25">
      <c r="A632" s="83" t="s">
        <v>397</v>
      </c>
      <c r="B632" s="213" t="s">
        <v>77</v>
      </c>
      <c r="C632" s="213" t="s">
        <v>18</v>
      </c>
      <c r="D632" s="83">
        <v>166</v>
      </c>
      <c r="E632" s="280">
        <v>8049732</v>
      </c>
      <c r="F632" s="280">
        <v>7094812</v>
      </c>
      <c r="G632" s="191" t="s">
        <v>140</v>
      </c>
      <c r="H632" s="292">
        <v>954920</v>
      </c>
      <c r="I632" s="292">
        <v>69622</v>
      </c>
      <c r="J632" s="292">
        <v>49468</v>
      </c>
      <c r="K632" s="292">
        <v>20154</v>
      </c>
      <c r="L632" s="292">
        <v>934766</v>
      </c>
    </row>
    <row r="633" spans="1:12" ht="15.75" customHeight="1" x14ac:dyDescent="0.25">
      <c r="A633" s="83" t="s">
        <v>397</v>
      </c>
      <c r="B633" s="213" t="s">
        <v>473</v>
      </c>
      <c r="C633" s="213" t="s">
        <v>474</v>
      </c>
      <c r="D633" s="83">
        <v>268</v>
      </c>
      <c r="E633" s="280">
        <v>6474647</v>
      </c>
      <c r="F633" s="280">
        <v>5139413</v>
      </c>
      <c r="G633" s="191" t="s">
        <v>140</v>
      </c>
      <c r="H633" s="292">
        <v>1335234</v>
      </c>
      <c r="I633" s="292">
        <v>0</v>
      </c>
      <c r="J633" s="292">
        <v>0</v>
      </c>
      <c r="K633" s="292">
        <v>0</v>
      </c>
      <c r="L633" s="292">
        <v>1335234</v>
      </c>
    </row>
    <row r="634" spans="1:12" x14ac:dyDescent="0.25">
      <c r="A634" s="83" t="s">
        <v>397</v>
      </c>
      <c r="B634" s="213" t="s">
        <v>80</v>
      </c>
      <c r="C634" s="213" t="s">
        <v>21</v>
      </c>
      <c r="D634" s="83">
        <v>32</v>
      </c>
      <c r="E634" s="280">
        <v>4151507</v>
      </c>
      <c r="F634" s="280">
        <v>4077222</v>
      </c>
      <c r="G634" s="191" t="s">
        <v>140</v>
      </c>
      <c r="H634" s="292">
        <v>74285</v>
      </c>
      <c r="I634" s="292">
        <v>1352</v>
      </c>
      <c r="J634" s="292">
        <v>912</v>
      </c>
      <c r="K634" s="292">
        <v>440</v>
      </c>
      <c r="L634" s="292">
        <v>73845</v>
      </c>
    </row>
    <row r="635" spans="1:12" x14ac:dyDescent="0.25">
      <c r="A635" s="83" t="s">
        <v>397</v>
      </c>
      <c r="B635" s="213" t="s">
        <v>491</v>
      </c>
      <c r="C635" s="213" t="s">
        <v>19</v>
      </c>
      <c r="D635" s="83">
        <v>230</v>
      </c>
      <c r="E635" s="280">
        <v>5373701</v>
      </c>
      <c r="F635" s="280">
        <v>5309206</v>
      </c>
      <c r="G635" s="191" t="s">
        <v>140</v>
      </c>
      <c r="H635" s="292">
        <v>64495</v>
      </c>
      <c r="I635" s="292">
        <v>10680</v>
      </c>
      <c r="J635" s="292">
        <v>8110</v>
      </c>
      <c r="K635" s="292">
        <v>2570</v>
      </c>
      <c r="L635" s="292">
        <v>61925</v>
      </c>
    </row>
    <row r="636" spans="1:12" ht="15" customHeight="1" x14ac:dyDescent="0.25">
      <c r="A636" s="83" t="s">
        <v>397</v>
      </c>
      <c r="B636" s="213" t="s">
        <v>475</v>
      </c>
      <c r="C636" s="213" t="s">
        <v>476</v>
      </c>
      <c r="D636" s="83">
        <v>148</v>
      </c>
      <c r="E636" s="280">
        <v>17124</v>
      </c>
      <c r="F636" s="280">
        <v>6568</v>
      </c>
      <c r="G636" s="191" t="s">
        <v>140</v>
      </c>
      <c r="H636" s="292">
        <v>10556</v>
      </c>
      <c r="I636" s="292">
        <v>0</v>
      </c>
      <c r="J636" s="292">
        <v>0</v>
      </c>
      <c r="K636" s="292">
        <v>0</v>
      </c>
      <c r="L636" s="292">
        <v>10556</v>
      </c>
    </row>
    <row r="637" spans="1:12" x14ac:dyDescent="0.25">
      <c r="A637" s="83" t="s">
        <v>397</v>
      </c>
      <c r="B637" s="213" t="s">
        <v>81</v>
      </c>
      <c r="C637" s="213" t="s">
        <v>22</v>
      </c>
      <c r="D637" s="83">
        <v>153</v>
      </c>
      <c r="E637" s="280">
        <v>4509810</v>
      </c>
      <c r="F637" s="280">
        <v>4361183</v>
      </c>
      <c r="G637" s="191" t="s">
        <v>140</v>
      </c>
      <c r="H637" s="292">
        <v>148627</v>
      </c>
      <c r="I637" s="292">
        <v>65813</v>
      </c>
      <c r="J637" s="292">
        <v>59790</v>
      </c>
      <c r="K637" s="292">
        <v>6023</v>
      </c>
      <c r="L637" s="292">
        <v>142604</v>
      </c>
    </row>
    <row r="638" spans="1:12" x14ac:dyDescent="0.25">
      <c r="A638" s="83" t="s">
        <v>397</v>
      </c>
      <c r="B638" s="213" t="s">
        <v>457</v>
      </c>
      <c r="C638" s="213" t="s">
        <v>458</v>
      </c>
      <c r="D638" s="83">
        <v>155</v>
      </c>
      <c r="E638" s="280">
        <v>1176856</v>
      </c>
      <c r="F638" s="280">
        <v>651415</v>
      </c>
      <c r="G638" s="191" t="s">
        <v>140</v>
      </c>
      <c r="H638" s="292">
        <v>525441</v>
      </c>
      <c r="I638" s="292">
        <v>28652</v>
      </c>
      <c r="J638" s="292">
        <v>27448</v>
      </c>
      <c r="K638" s="292">
        <v>1204</v>
      </c>
      <c r="L638" s="292">
        <v>524237</v>
      </c>
    </row>
    <row r="639" spans="1:12" x14ac:dyDescent="0.25">
      <c r="A639" s="83" t="s">
        <v>397</v>
      </c>
      <c r="B639" s="213" t="s">
        <v>525</v>
      </c>
      <c r="C639" s="213" t="s">
        <v>526</v>
      </c>
      <c r="D639" s="83">
        <v>157</v>
      </c>
      <c r="E639" s="280">
        <v>1656765</v>
      </c>
      <c r="F639" s="280">
        <v>1480782</v>
      </c>
      <c r="G639" s="191" t="s">
        <v>140</v>
      </c>
      <c r="H639" s="292">
        <v>175983</v>
      </c>
      <c r="I639" s="292">
        <v>32178</v>
      </c>
      <c r="J639" s="292">
        <v>30021</v>
      </c>
      <c r="K639" s="292">
        <v>2157</v>
      </c>
      <c r="L639" s="292">
        <v>173826</v>
      </c>
    </row>
    <row r="640" spans="1:12" x14ac:dyDescent="0.25">
      <c r="A640" s="83" t="s">
        <v>397</v>
      </c>
      <c r="B640" s="213" t="s">
        <v>338</v>
      </c>
      <c r="C640" s="213" t="s">
        <v>339</v>
      </c>
      <c r="D640" s="83">
        <v>42</v>
      </c>
      <c r="E640" s="280">
        <v>15540692</v>
      </c>
      <c r="F640" s="280">
        <v>14149028</v>
      </c>
      <c r="G640" s="191" t="s">
        <v>140</v>
      </c>
      <c r="H640" s="292">
        <v>1391664</v>
      </c>
      <c r="I640" s="292">
        <v>0</v>
      </c>
      <c r="J640" s="292">
        <v>0</v>
      </c>
      <c r="K640" s="292">
        <v>0</v>
      </c>
      <c r="L640" s="292">
        <v>1391664</v>
      </c>
    </row>
    <row r="641" spans="1:12" x14ac:dyDescent="0.25">
      <c r="A641" s="83" t="s">
        <v>397</v>
      </c>
      <c r="B641" s="213" t="s">
        <v>527</v>
      </c>
      <c r="C641" s="213" t="s">
        <v>23</v>
      </c>
      <c r="D641" s="83">
        <v>275</v>
      </c>
      <c r="E641" s="280">
        <v>23761</v>
      </c>
      <c r="F641" s="280">
        <v>22690</v>
      </c>
      <c r="G641" s="191" t="s">
        <v>140</v>
      </c>
      <c r="H641" s="292">
        <v>1071</v>
      </c>
      <c r="I641" s="292">
        <v>0</v>
      </c>
      <c r="J641" s="292">
        <v>0</v>
      </c>
      <c r="K641" s="292">
        <v>0</v>
      </c>
      <c r="L641" s="292">
        <v>1071</v>
      </c>
    </row>
    <row r="642" spans="1:12" ht="45.75" x14ac:dyDescent="0.25">
      <c r="A642" s="83" t="s">
        <v>397</v>
      </c>
      <c r="B642" s="213" t="s">
        <v>514</v>
      </c>
      <c r="C642" s="213" t="s">
        <v>515</v>
      </c>
      <c r="D642" s="83">
        <v>265</v>
      </c>
      <c r="E642" s="280">
        <v>3247854</v>
      </c>
      <c r="F642" s="280">
        <v>3128316</v>
      </c>
      <c r="G642" s="191" t="s">
        <v>140</v>
      </c>
      <c r="H642" s="292">
        <v>119538</v>
      </c>
      <c r="I642" s="292">
        <v>0</v>
      </c>
      <c r="J642" s="292">
        <v>0</v>
      </c>
      <c r="K642" s="292">
        <v>0</v>
      </c>
      <c r="L642" s="292">
        <v>119538</v>
      </c>
    </row>
    <row r="643" spans="1:12" x14ac:dyDescent="0.25">
      <c r="A643" s="83" t="s">
        <v>397</v>
      </c>
      <c r="B643" s="213" t="s">
        <v>83</v>
      </c>
      <c r="C643" s="213" t="s">
        <v>17</v>
      </c>
      <c r="D643" s="83">
        <v>48</v>
      </c>
      <c r="E643" s="280">
        <v>14658917</v>
      </c>
      <c r="F643" s="280">
        <v>13490929</v>
      </c>
      <c r="G643" s="191" t="s">
        <v>140</v>
      </c>
      <c r="H643" s="292">
        <v>1167988</v>
      </c>
      <c r="I643" s="292">
        <v>203988</v>
      </c>
      <c r="J643" s="292">
        <v>199903</v>
      </c>
      <c r="K643" s="292">
        <v>4085</v>
      </c>
      <c r="L643" s="292">
        <v>1163903</v>
      </c>
    </row>
    <row r="644" spans="1:12" ht="30.75" x14ac:dyDescent="0.25">
      <c r="A644" s="83" t="s">
        <v>397</v>
      </c>
      <c r="B644" s="213" t="s">
        <v>519</v>
      </c>
      <c r="C644" s="213" t="s">
        <v>449</v>
      </c>
      <c r="D644" s="83">
        <v>150</v>
      </c>
      <c r="E644" s="280">
        <v>6617290</v>
      </c>
      <c r="F644" s="280">
        <v>6100481</v>
      </c>
      <c r="G644" s="191" t="s">
        <v>140</v>
      </c>
      <c r="H644" s="292">
        <v>516809</v>
      </c>
      <c r="I644" s="292">
        <v>60300</v>
      </c>
      <c r="J644" s="292">
        <v>54923</v>
      </c>
      <c r="K644" s="292">
        <v>5377</v>
      </c>
      <c r="L644" s="292">
        <v>511432</v>
      </c>
    </row>
    <row r="645" spans="1:12" x14ac:dyDescent="0.25">
      <c r="A645" s="83" t="s">
        <v>397</v>
      </c>
      <c r="B645" s="213" t="s">
        <v>326</v>
      </c>
      <c r="C645" s="213" t="s">
        <v>327</v>
      </c>
      <c r="D645" s="83">
        <v>218</v>
      </c>
      <c r="E645" s="280">
        <v>3715071</v>
      </c>
      <c r="F645" s="280">
        <v>3238954</v>
      </c>
      <c r="G645" s="191" t="s">
        <v>140</v>
      </c>
      <c r="H645" s="292">
        <v>476117</v>
      </c>
      <c r="I645" s="292">
        <v>0</v>
      </c>
      <c r="J645" s="292">
        <v>0</v>
      </c>
      <c r="K645" s="292">
        <v>0</v>
      </c>
      <c r="L645" s="292">
        <v>476117</v>
      </c>
    </row>
    <row r="646" spans="1:12" x14ac:dyDescent="0.25">
      <c r="A646" s="83" t="s">
        <v>397</v>
      </c>
      <c r="B646" s="213" t="s">
        <v>459</v>
      </c>
      <c r="C646" s="213" t="s">
        <v>460</v>
      </c>
      <c r="D646" s="83">
        <v>173</v>
      </c>
      <c r="E646" s="280">
        <v>1759730</v>
      </c>
      <c r="F646" s="280">
        <v>1759730</v>
      </c>
      <c r="G646" s="191" t="s">
        <v>140</v>
      </c>
      <c r="H646" s="292">
        <v>0</v>
      </c>
      <c r="I646" s="292">
        <v>43451</v>
      </c>
      <c r="J646" s="292">
        <v>38616</v>
      </c>
      <c r="K646" s="292">
        <v>4835</v>
      </c>
      <c r="L646" s="292">
        <v>-4835</v>
      </c>
    </row>
    <row r="647" spans="1:12" ht="45.75" customHeight="1" x14ac:dyDescent="0.25">
      <c r="A647" s="83" t="s">
        <v>397</v>
      </c>
      <c r="B647" s="213" t="s">
        <v>498</v>
      </c>
      <c r="C647" s="213" t="s">
        <v>499</v>
      </c>
      <c r="D647" s="83">
        <v>329</v>
      </c>
      <c r="E647" s="280">
        <v>930860</v>
      </c>
      <c r="F647" s="280">
        <v>831450</v>
      </c>
      <c r="G647" s="191" t="s">
        <v>140</v>
      </c>
      <c r="H647" s="292">
        <v>99410</v>
      </c>
      <c r="I647" s="292">
        <v>0</v>
      </c>
      <c r="J647" s="292">
        <v>0</v>
      </c>
      <c r="K647" s="292">
        <v>0</v>
      </c>
      <c r="L647" s="292">
        <v>99410</v>
      </c>
    </row>
    <row r="648" spans="1:12" ht="30.75" customHeight="1" x14ac:dyDescent="0.25">
      <c r="A648" s="83" t="s">
        <v>397</v>
      </c>
      <c r="B648" s="213" t="s">
        <v>466</v>
      </c>
      <c r="C648" s="213" t="s">
        <v>467</v>
      </c>
      <c r="D648" s="83">
        <v>261</v>
      </c>
      <c r="E648" s="280">
        <v>814086</v>
      </c>
      <c r="F648" s="280">
        <v>797084</v>
      </c>
      <c r="G648" s="191" t="s">
        <v>140</v>
      </c>
      <c r="H648" s="292">
        <v>17002</v>
      </c>
      <c r="I648" s="292">
        <v>72250</v>
      </c>
      <c r="J648" s="292">
        <v>29296</v>
      </c>
      <c r="K648" s="292">
        <v>42954</v>
      </c>
      <c r="L648" s="292">
        <v>-25952</v>
      </c>
    </row>
    <row r="649" spans="1:12" ht="15" customHeight="1" x14ac:dyDescent="0.25">
      <c r="A649" s="83" t="s">
        <v>397</v>
      </c>
      <c r="B649" s="213" t="s">
        <v>461</v>
      </c>
      <c r="C649" s="213" t="s">
        <v>25</v>
      </c>
      <c r="D649" s="83">
        <v>244</v>
      </c>
      <c r="E649" s="280">
        <v>3239841</v>
      </c>
      <c r="F649" s="280">
        <v>3209138</v>
      </c>
      <c r="G649" s="191" t="s">
        <v>140</v>
      </c>
      <c r="H649" s="292">
        <v>30703</v>
      </c>
      <c r="I649" s="292">
        <v>73306</v>
      </c>
      <c r="J649" s="292">
        <v>50579</v>
      </c>
      <c r="K649" s="292">
        <v>22727</v>
      </c>
      <c r="L649" s="292">
        <v>7976</v>
      </c>
    </row>
    <row r="650" spans="1:12" x14ac:dyDescent="0.25">
      <c r="A650" s="83" t="s">
        <v>397</v>
      </c>
      <c r="B650" s="213" t="s">
        <v>511</v>
      </c>
      <c r="C650" s="213" t="s">
        <v>512</v>
      </c>
      <c r="D650" s="83">
        <v>182</v>
      </c>
      <c r="E650" s="280">
        <v>68265</v>
      </c>
      <c r="F650" s="280">
        <v>55179</v>
      </c>
      <c r="G650" s="191" t="s">
        <v>140</v>
      </c>
      <c r="H650" s="292">
        <v>13086</v>
      </c>
      <c r="I650" s="292">
        <v>1388</v>
      </c>
      <c r="J650" s="292">
        <v>1388</v>
      </c>
      <c r="K650" s="292">
        <v>0</v>
      </c>
      <c r="L650" s="292">
        <v>13086</v>
      </c>
    </row>
    <row r="651" spans="1:12" x14ac:dyDescent="0.25">
      <c r="A651" s="83" t="s">
        <v>397</v>
      </c>
      <c r="B651" s="213" t="s">
        <v>477</v>
      </c>
      <c r="C651" s="213" t="s">
        <v>17</v>
      </c>
      <c r="D651" s="83">
        <v>280</v>
      </c>
      <c r="E651" s="280">
        <v>14665</v>
      </c>
      <c r="F651" s="280">
        <v>11241</v>
      </c>
      <c r="G651" s="191" t="s">
        <v>140</v>
      </c>
      <c r="H651" s="292">
        <v>3424</v>
      </c>
      <c r="I651" s="292">
        <v>0</v>
      </c>
      <c r="J651" s="292">
        <v>0</v>
      </c>
      <c r="K651" s="292">
        <v>0</v>
      </c>
      <c r="L651" s="292">
        <v>3424</v>
      </c>
    </row>
    <row r="652" spans="1:12" ht="30.75" x14ac:dyDescent="0.25">
      <c r="A652" s="83" t="s">
        <v>397</v>
      </c>
      <c r="B652" s="213" t="s">
        <v>500</v>
      </c>
      <c r="C652" s="213" t="s">
        <v>11</v>
      </c>
      <c r="D652" s="83">
        <v>176</v>
      </c>
      <c r="E652" s="280">
        <v>7230014</v>
      </c>
      <c r="F652" s="280">
        <v>6313475</v>
      </c>
      <c r="G652" s="191" t="s">
        <v>140</v>
      </c>
      <c r="H652" s="292">
        <v>916539</v>
      </c>
      <c r="I652" s="292">
        <v>35024</v>
      </c>
      <c r="J652" s="292">
        <v>25955</v>
      </c>
      <c r="K652" s="292">
        <v>9069</v>
      </c>
      <c r="L652" s="292">
        <v>907470</v>
      </c>
    </row>
    <row r="653" spans="1:12" x14ac:dyDescent="0.25">
      <c r="A653" s="83" t="s">
        <v>397</v>
      </c>
      <c r="B653" s="213" t="s">
        <v>507</v>
      </c>
      <c r="C653" s="213" t="s">
        <v>508</v>
      </c>
      <c r="D653" s="83">
        <v>57</v>
      </c>
      <c r="E653" s="280">
        <v>964299</v>
      </c>
      <c r="F653" s="280">
        <v>880791</v>
      </c>
      <c r="G653" s="191" t="s">
        <v>140</v>
      </c>
      <c r="H653" s="292">
        <v>83508</v>
      </c>
      <c r="I653" s="292">
        <v>14205</v>
      </c>
      <c r="J653" s="292">
        <v>14205</v>
      </c>
      <c r="K653" s="292">
        <v>0</v>
      </c>
      <c r="L653" s="292">
        <v>83508</v>
      </c>
    </row>
    <row r="654" spans="1:12" x14ac:dyDescent="0.25">
      <c r="A654" s="83" t="s">
        <v>397</v>
      </c>
      <c r="B654" s="213" t="s">
        <v>85</v>
      </c>
      <c r="C654" s="213" t="s">
        <v>26</v>
      </c>
      <c r="D654" s="83">
        <v>171</v>
      </c>
      <c r="E654" s="280">
        <v>2196908</v>
      </c>
      <c r="F654" s="280">
        <v>2046608</v>
      </c>
      <c r="G654" s="191" t="s">
        <v>140</v>
      </c>
      <c r="H654" s="292">
        <v>150300</v>
      </c>
      <c r="I654" s="292">
        <v>0</v>
      </c>
      <c r="J654" s="292">
        <v>0</v>
      </c>
      <c r="K654" s="292">
        <v>0</v>
      </c>
      <c r="L654" s="292">
        <v>150300</v>
      </c>
    </row>
    <row r="655" spans="1:12" ht="30.75" x14ac:dyDescent="0.25">
      <c r="A655" s="83" t="s">
        <v>397</v>
      </c>
      <c r="B655" s="213" t="s">
        <v>86</v>
      </c>
      <c r="C655" s="213" t="s">
        <v>25</v>
      </c>
      <c r="D655" s="83">
        <v>258</v>
      </c>
      <c r="E655" s="280">
        <v>2759263</v>
      </c>
      <c r="F655" s="280">
        <v>2425375</v>
      </c>
      <c r="G655" s="191" t="s">
        <v>140</v>
      </c>
      <c r="H655" s="292">
        <v>333888</v>
      </c>
      <c r="I655" s="292">
        <v>42825</v>
      </c>
      <c r="J655" s="292">
        <v>40423</v>
      </c>
      <c r="K655" s="292">
        <v>2402</v>
      </c>
      <c r="L655" s="292">
        <v>331486</v>
      </c>
    </row>
    <row r="656" spans="1:12" x14ac:dyDescent="0.25">
      <c r="A656" s="83" t="s">
        <v>397</v>
      </c>
      <c r="B656" s="213" t="s">
        <v>478</v>
      </c>
      <c r="C656" s="213" t="s">
        <v>479</v>
      </c>
      <c r="D656" s="83">
        <v>228</v>
      </c>
      <c r="E656" s="280">
        <v>14952</v>
      </c>
      <c r="F656" s="280">
        <v>6939</v>
      </c>
      <c r="G656" s="191" t="s">
        <v>140</v>
      </c>
      <c r="H656" s="292">
        <v>8013</v>
      </c>
      <c r="I656" s="292">
        <v>0</v>
      </c>
      <c r="J656" s="292">
        <v>0</v>
      </c>
      <c r="K656" s="292">
        <v>0</v>
      </c>
      <c r="L656" s="292">
        <v>8013</v>
      </c>
    </row>
    <row r="657" spans="1:12" x14ac:dyDescent="0.25">
      <c r="A657" s="83" t="s">
        <v>397</v>
      </c>
      <c r="B657" s="213" t="s">
        <v>509</v>
      </c>
      <c r="C657" s="213" t="s">
        <v>510</v>
      </c>
      <c r="D657" s="83">
        <v>58</v>
      </c>
      <c r="E657" s="280">
        <v>3087850</v>
      </c>
      <c r="F657" s="280">
        <v>3059030</v>
      </c>
      <c r="G657" s="191" t="s">
        <v>140</v>
      </c>
      <c r="H657" s="292">
        <v>28820</v>
      </c>
      <c r="I657" s="292">
        <v>15442</v>
      </c>
      <c r="J657" s="292">
        <v>13765</v>
      </c>
      <c r="K657" s="292">
        <v>1677</v>
      </c>
      <c r="L657" s="292">
        <v>27143</v>
      </c>
    </row>
    <row r="658" spans="1:12" x14ac:dyDescent="0.25">
      <c r="A658" s="83" t="s">
        <v>397</v>
      </c>
      <c r="B658" s="213" t="s">
        <v>480</v>
      </c>
      <c r="C658" s="213" t="s">
        <v>481</v>
      </c>
      <c r="D658" s="83">
        <v>308</v>
      </c>
      <c r="E658" s="280">
        <v>83236</v>
      </c>
      <c r="F658" s="280">
        <v>46217</v>
      </c>
      <c r="G658" s="191" t="s">
        <v>140</v>
      </c>
      <c r="H658" s="292">
        <v>37019</v>
      </c>
      <c r="I658" s="292">
        <v>0</v>
      </c>
      <c r="J658" s="292">
        <v>0</v>
      </c>
      <c r="K658" s="292">
        <v>0</v>
      </c>
      <c r="L658" s="292">
        <v>37019</v>
      </c>
    </row>
    <row r="659" spans="1:12" x14ac:dyDescent="0.25">
      <c r="A659" s="83" t="s">
        <v>397</v>
      </c>
      <c r="B659" s="213" t="s">
        <v>87</v>
      </c>
      <c r="C659" s="213" t="s">
        <v>17</v>
      </c>
      <c r="D659" s="83">
        <v>260</v>
      </c>
      <c r="E659" s="280">
        <v>18231549</v>
      </c>
      <c r="F659" s="280">
        <v>17200676</v>
      </c>
      <c r="G659" s="191" t="s">
        <v>140</v>
      </c>
      <c r="H659" s="292">
        <v>1030873</v>
      </c>
      <c r="I659" s="292">
        <v>608055</v>
      </c>
      <c r="J659" s="292">
        <v>608055</v>
      </c>
      <c r="K659" s="292">
        <v>0</v>
      </c>
      <c r="L659" s="292">
        <v>1030873</v>
      </c>
    </row>
    <row r="660" spans="1:12" ht="15.75" customHeight="1" x14ac:dyDescent="0.25">
      <c r="A660" s="83" t="s">
        <v>397</v>
      </c>
      <c r="B660" s="213" t="s">
        <v>462</v>
      </c>
      <c r="C660" s="213" t="s">
        <v>463</v>
      </c>
      <c r="D660" s="83">
        <v>346</v>
      </c>
      <c r="E660" s="280">
        <v>7378</v>
      </c>
      <c r="F660" s="280">
        <v>1834</v>
      </c>
      <c r="G660" s="191" t="s">
        <v>140</v>
      </c>
      <c r="H660" s="292">
        <v>5544</v>
      </c>
      <c r="I660" s="292">
        <v>0</v>
      </c>
      <c r="J660" s="292">
        <v>0</v>
      </c>
      <c r="K660" s="292">
        <v>0</v>
      </c>
      <c r="L660" s="292">
        <v>5544</v>
      </c>
    </row>
    <row r="661" spans="1:12" x14ac:dyDescent="0.25">
      <c r="A661" s="83" t="s">
        <v>397</v>
      </c>
      <c r="B661" s="213" t="s">
        <v>89</v>
      </c>
      <c r="C661" s="213" t="s">
        <v>28</v>
      </c>
      <c r="D661" s="83">
        <v>351</v>
      </c>
      <c r="E661" s="280">
        <v>52143</v>
      </c>
      <c r="F661" s="280">
        <v>47396</v>
      </c>
      <c r="G661" s="191" t="s">
        <v>140</v>
      </c>
      <c r="H661" s="292">
        <v>4747</v>
      </c>
      <c r="I661" s="292">
        <v>0</v>
      </c>
      <c r="J661" s="292">
        <v>0</v>
      </c>
      <c r="K661" s="292">
        <v>0</v>
      </c>
      <c r="L661" s="292">
        <v>4747</v>
      </c>
    </row>
    <row r="662" spans="1:12" ht="15.75" customHeight="1" x14ac:dyDescent="0.25">
      <c r="A662" s="199" t="s">
        <v>398</v>
      </c>
      <c r="B662" s="214" t="s">
        <v>140</v>
      </c>
      <c r="C662" s="214" t="s">
        <v>140</v>
      </c>
      <c r="D662" s="214" t="s">
        <v>140</v>
      </c>
      <c r="E662" s="293">
        <f>SUBTOTAL(109,school200607[Program
Costs])</f>
        <v>453651870</v>
      </c>
      <c r="F662" s="293">
        <f>SUBTOTAL(109,school200607[Less: Net Payments and Offsets2])</f>
        <v>394141865</v>
      </c>
      <c r="G662" s="214" t="s">
        <v>140</v>
      </c>
      <c r="H662" s="293">
        <f>SUBTOTAL(109,school200607[Accounts Payable
Balance])</f>
        <v>59510005</v>
      </c>
      <c r="I662" s="293">
        <f>SUBTOTAL(109,school200607[Established
Accounts Receivable])</f>
        <v>2341878</v>
      </c>
      <c r="J662" s="293">
        <f>SUBTOTAL(109,school200607[Less: Recovered Amount])</f>
        <v>1649405</v>
      </c>
      <c r="K662" s="293">
        <f>SUBTOTAL(109,school200607[Accounts Receivable
Balance])</f>
        <v>692473</v>
      </c>
      <c r="L662" s="293">
        <f>SUBTOTAL(109,school200607[Net
Balance])</f>
        <v>58817532</v>
      </c>
    </row>
    <row r="663" spans="1:12" x14ac:dyDescent="0.25">
      <c r="A663" s="195" t="s">
        <v>141</v>
      </c>
      <c r="B663" s="142"/>
      <c r="C663" s="142"/>
      <c r="D663" s="142"/>
      <c r="E663" s="26"/>
      <c r="F663" s="26"/>
      <c r="G663" s="196"/>
      <c r="H663" s="26"/>
      <c r="I663" s="26"/>
      <c r="J663" s="26"/>
      <c r="K663" s="26"/>
      <c r="L663" s="26"/>
    </row>
    <row r="664" spans="1:12" ht="50.1" customHeight="1" x14ac:dyDescent="0.25">
      <c r="A664" s="10" t="s">
        <v>5</v>
      </c>
      <c r="B664" s="10" t="s">
        <v>6</v>
      </c>
      <c r="C664" s="10" t="s">
        <v>0</v>
      </c>
      <c r="D664" s="10" t="s">
        <v>441</v>
      </c>
      <c r="E664" s="215" t="s">
        <v>234</v>
      </c>
      <c r="F664" s="216" t="s">
        <v>452</v>
      </c>
      <c r="G664" s="217" t="s">
        <v>142</v>
      </c>
      <c r="H664" s="215" t="s">
        <v>444</v>
      </c>
      <c r="I664" s="215" t="s">
        <v>445</v>
      </c>
      <c r="J664" s="215" t="s">
        <v>446</v>
      </c>
      <c r="K664" s="215" t="s">
        <v>447</v>
      </c>
      <c r="L664" s="215" t="s">
        <v>305</v>
      </c>
    </row>
    <row r="665" spans="1:12" x14ac:dyDescent="0.25">
      <c r="A665" s="83" t="s">
        <v>399</v>
      </c>
      <c r="B665" s="213" t="s">
        <v>468</v>
      </c>
      <c r="C665" s="213" t="s">
        <v>469</v>
      </c>
      <c r="D665" s="83">
        <v>305</v>
      </c>
      <c r="E665" s="280">
        <v>91574</v>
      </c>
      <c r="F665" s="280">
        <v>89307</v>
      </c>
      <c r="G665" s="191" t="s">
        <v>140</v>
      </c>
      <c r="H665" s="292">
        <v>2267</v>
      </c>
      <c r="I665" s="292">
        <v>0</v>
      </c>
      <c r="J665" s="292">
        <v>0</v>
      </c>
      <c r="K665" s="292">
        <v>0</v>
      </c>
      <c r="L665" s="292">
        <v>2267</v>
      </c>
    </row>
    <row r="666" spans="1:12" x14ac:dyDescent="0.25">
      <c r="A666" s="83" t="s">
        <v>399</v>
      </c>
      <c r="B666" s="213" t="s">
        <v>501</v>
      </c>
      <c r="C666" s="213" t="s">
        <v>502</v>
      </c>
      <c r="D666" s="83">
        <v>269</v>
      </c>
      <c r="E666" s="280">
        <v>13832</v>
      </c>
      <c r="F666" s="280">
        <v>12143</v>
      </c>
      <c r="G666" s="191" t="s">
        <v>140</v>
      </c>
      <c r="H666" s="292">
        <v>1689</v>
      </c>
      <c r="I666" s="292">
        <v>0</v>
      </c>
      <c r="J666" s="292">
        <v>0</v>
      </c>
      <c r="K666" s="292">
        <v>0</v>
      </c>
      <c r="L666" s="292">
        <v>1689</v>
      </c>
    </row>
    <row r="667" spans="1:12" ht="30.75" x14ac:dyDescent="0.25">
      <c r="A667" s="83" t="s">
        <v>399</v>
      </c>
      <c r="B667" s="213" t="s">
        <v>66</v>
      </c>
      <c r="C667" s="213" t="s">
        <v>7</v>
      </c>
      <c r="D667" s="83">
        <v>250</v>
      </c>
      <c r="E667" s="280">
        <v>1529642</v>
      </c>
      <c r="F667" s="280">
        <v>1448507</v>
      </c>
      <c r="G667" s="191" t="s">
        <v>140</v>
      </c>
      <c r="H667" s="292">
        <v>81135</v>
      </c>
      <c r="I667" s="292">
        <v>0</v>
      </c>
      <c r="J667" s="292">
        <v>0</v>
      </c>
      <c r="K667" s="292">
        <v>0</v>
      </c>
      <c r="L667" s="292">
        <v>81135</v>
      </c>
    </row>
    <row r="668" spans="1:12" ht="30.75" x14ac:dyDescent="0.25">
      <c r="A668" s="83" t="s">
        <v>399</v>
      </c>
      <c r="B668" s="213" t="s">
        <v>495</v>
      </c>
      <c r="C668" s="213" t="s">
        <v>490</v>
      </c>
      <c r="D668" s="83">
        <v>348</v>
      </c>
      <c r="E668" s="280">
        <v>48538143</v>
      </c>
      <c r="F668" s="280">
        <v>42415623</v>
      </c>
      <c r="G668" s="191" t="s">
        <v>140</v>
      </c>
      <c r="H668" s="292">
        <v>6122520</v>
      </c>
      <c r="I668" s="292">
        <v>0</v>
      </c>
      <c r="J668" s="292">
        <v>0</v>
      </c>
      <c r="K668" s="292">
        <v>0</v>
      </c>
      <c r="L668" s="292">
        <v>6122520</v>
      </c>
    </row>
    <row r="669" spans="1:12" ht="30.75" x14ac:dyDescent="0.25">
      <c r="A669" s="83" t="s">
        <v>399</v>
      </c>
      <c r="B669" s="213" t="s">
        <v>483</v>
      </c>
      <c r="C669" s="213" t="s">
        <v>484</v>
      </c>
      <c r="D669" s="83">
        <v>286</v>
      </c>
      <c r="E669" s="280">
        <v>81632</v>
      </c>
      <c r="F669" s="280">
        <v>66048</v>
      </c>
      <c r="G669" s="191" t="s">
        <v>140</v>
      </c>
      <c r="H669" s="292">
        <v>15584</v>
      </c>
      <c r="I669" s="292">
        <v>0</v>
      </c>
      <c r="J669" s="292">
        <v>0</v>
      </c>
      <c r="K669" s="292">
        <v>0</v>
      </c>
      <c r="L669" s="292">
        <v>15584</v>
      </c>
    </row>
    <row r="670" spans="1:12" ht="30.75" x14ac:dyDescent="0.25">
      <c r="A670" s="83" t="s">
        <v>399</v>
      </c>
      <c r="B670" s="213" t="s">
        <v>69</v>
      </c>
      <c r="C670" s="213" t="s">
        <v>10</v>
      </c>
      <c r="D670" s="83">
        <v>172</v>
      </c>
      <c r="E670" s="280">
        <v>789966</v>
      </c>
      <c r="F670" s="280">
        <v>701787</v>
      </c>
      <c r="G670" s="191" t="s">
        <v>140</v>
      </c>
      <c r="H670" s="292">
        <v>88179</v>
      </c>
      <c r="I670" s="292">
        <v>0</v>
      </c>
      <c r="J670" s="292">
        <v>0</v>
      </c>
      <c r="K670" s="292">
        <v>0</v>
      </c>
      <c r="L670" s="292">
        <v>88179</v>
      </c>
    </row>
    <row r="671" spans="1:12" x14ac:dyDescent="0.25">
      <c r="A671" s="83" t="s">
        <v>399</v>
      </c>
      <c r="B671" s="213" t="s">
        <v>520</v>
      </c>
      <c r="C671" s="213" t="s">
        <v>521</v>
      </c>
      <c r="D671" s="83">
        <v>249</v>
      </c>
      <c r="E671" s="280">
        <v>1894352</v>
      </c>
      <c r="F671" s="280">
        <v>1761720</v>
      </c>
      <c r="G671" s="191" t="s">
        <v>140</v>
      </c>
      <c r="H671" s="292">
        <v>132632</v>
      </c>
      <c r="I671" s="292">
        <v>0</v>
      </c>
      <c r="J671" s="292">
        <v>0</v>
      </c>
      <c r="K671" s="292">
        <v>0</v>
      </c>
      <c r="L671" s="292">
        <v>132632</v>
      </c>
    </row>
    <row r="672" spans="1:12" ht="30.75" x14ac:dyDescent="0.25">
      <c r="A672" s="83" t="s">
        <v>399</v>
      </c>
      <c r="B672" s="213" t="s">
        <v>72</v>
      </c>
      <c r="C672" s="213" t="s">
        <v>13</v>
      </c>
      <c r="D672" s="83">
        <v>11</v>
      </c>
      <c r="E672" s="280">
        <v>28118251</v>
      </c>
      <c r="F672" s="280">
        <v>27647949</v>
      </c>
      <c r="G672" s="191" t="s">
        <v>140</v>
      </c>
      <c r="H672" s="292">
        <v>470302</v>
      </c>
      <c r="I672" s="292">
        <v>6504563</v>
      </c>
      <c r="J672" s="292">
        <v>5420317</v>
      </c>
      <c r="K672" s="292">
        <v>1084246</v>
      </c>
      <c r="L672" s="292">
        <v>-613944</v>
      </c>
    </row>
    <row r="673" spans="1:12" x14ac:dyDescent="0.25">
      <c r="A673" s="83" t="s">
        <v>399</v>
      </c>
      <c r="B673" s="213" t="s">
        <v>513</v>
      </c>
      <c r="C673" s="213" t="s">
        <v>14</v>
      </c>
      <c r="D673" s="83">
        <v>223</v>
      </c>
      <c r="E673" s="280">
        <v>4125253</v>
      </c>
      <c r="F673" s="280">
        <v>3957366</v>
      </c>
      <c r="G673" s="191" t="s">
        <v>140</v>
      </c>
      <c r="H673" s="292">
        <v>167887</v>
      </c>
      <c r="I673" s="292">
        <v>0</v>
      </c>
      <c r="J673" s="292">
        <v>0</v>
      </c>
      <c r="K673" s="292">
        <v>0</v>
      </c>
      <c r="L673" s="292">
        <v>167887</v>
      </c>
    </row>
    <row r="674" spans="1:12" ht="45.75" x14ac:dyDescent="0.25">
      <c r="A674" s="83" t="s">
        <v>399</v>
      </c>
      <c r="B674" s="213" t="s">
        <v>67</v>
      </c>
      <c r="C674" s="213" t="s">
        <v>8</v>
      </c>
      <c r="D674" s="83">
        <v>272</v>
      </c>
      <c r="E674" s="280">
        <v>8371175</v>
      </c>
      <c r="F674" s="280">
        <v>8200303</v>
      </c>
      <c r="G674" s="191" t="s">
        <v>140</v>
      </c>
      <c r="H674" s="292">
        <v>170872</v>
      </c>
      <c r="I674" s="292">
        <v>0</v>
      </c>
      <c r="J674" s="292">
        <v>0</v>
      </c>
      <c r="K674" s="292">
        <v>0</v>
      </c>
      <c r="L674" s="292">
        <v>170872</v>
      </c>
    </row>
    <row r="675" spans="1:12" ht="15" customHeight="1" x14ac:dyDescent="0.25">
      <c r="A675" s="83" t="s">
        <v>399</v>
      </c>
      <c r="B675" s="213" t="s">
        <v>516</v>
      </c>
      <c r="C675" s="213" t="s">
        <v>517</v>
      </c>
      <c r="D675" s="83">
        <v>291</v>
      </c>
      <c r="E675" s="280">
        <v>221637</v>
      </c>
      <c r="F675" s="280">
        <v>135227</v>
      </c>
      <c r="G675" s="191" t="s">
        <v>140</v>
      </c>
      <c r="H675" s="292">
        <v>86410</v>
      </c>
      <c r="I675" s="292">
        <v>0</v>
      </c>
      <c r="J675" s="292">
        <v>0</v>
      </c>
      <c r="K675" s="292">
        <v>0</v>
      </c>
      <c r="L675" s="292">
        <v>86410</v>
      </c>
    </row>
    <row r="676" spans="1:12" ht="30.75" x14ac:dyDescent="0.25">
      <c r="A676" s="83" t="s">
        <v>399</v>
      </c>
      <c r="B676" s="213" t="s">
        <v>71</v>
      </c>
      <c r="C676" s="213" t="s">
        <v>12</v>
      </c>
      <c r="D676" s="83">
        <v>209</v>
      </c>
      <c r="E676" s="280">
        <v>330968</v>
      </c>
      <c r="F676" s="280">
        <v>291805</v>
      </c>
      <c r="G676" s="191" t="s">
        <v>140</v>
      </c>
      <c r="H676" s="292">
        <v>39163</v>
      </c>
      <c r="I676" s="292">
        <v>0</v>
      </c>
      <c r="J676" s="292">
        <v>0</v>
      </c>
      <c r="K676" s="292">
        <v>0</v>
      </c>
      <c r="L676" s="292">
        <v>39163</v>
      </c>
    </row>
    <row r="677" spans="1:12" ht="15.75" customHeight="1" x14ac:dyDescent="0.25">
      <c r="A677" s="83" t="s">
        <v>399</v>
      </c>
      <c r="B677" s="213" t="s">
        <v>74</v>
      </c>
      <c r="C677" s="213" t="s">
        <v>15</v>
      </c>
      <c r="D677" s="83">
        <v>183</v>
      </c>
      <c r="E677" s="280">
        <v>1053274</v>
      </c>
      <c r="F677" s="280">
        <v>1028420</v>
      </c>
      <c r="G677" s="191" t="s">
        <v>140</v>
      </c>
      <c r="H677" s="292">
        <v>24854</v>
      </c>
      <c r="I677" s="292">
        <v>324987</v>
      </c>
      <c r="J677" s="292">
        <v>324236</v>
      </c>
      <c r="K677" s="292">
        <v>751</v>
      </c>
      <c r="L677" s="292">
        <v>24103</v>
      </c>
    </row>
    <row r="678" spans="1:12" x14ac:dyDescent="0.25">
      <c r="A678" s="83" t="s">
        <v>399</v>
      </c>
      <c r="B678" s="213" t="s">
        <v>455</v>
      </c>
      <c r="C678" s="213" t="s">
        <v>456</v>
      </c>
      <c r="D678" s="83">
        <v>251</v>
      </c>
      <c r="E678" s="280">
        <v>345084</v>
      </c>
      <c r="F678" s="280">
        <v>339843</v>
      </c>
      <c r="G678" s="191" t="s">
        <v>140</v>
      </c>
      <c r="H678" s="292">
        <v>5241</v>
      </c>
      <c r="I678" s="292">
        <v>0</v>
      </c>
      <c r="J678" s="292">
        <v>0</v>
      </c>
      <c r="K678" s="292">
        <v>0</v>
      </c>
      <c r="L678" s="292">
        <v>5241</v>
      </c>
    </row>
    <row r="679" spans="1:12" ht="30.75" x14ac:dyDescent="0.25">
      <c r="A679" s="83" t="s">
        <v>399</v>
      </c>
      <c r="B679" s="213" t="s">
        <v>472</v>
      </c>
      <c r="C679" s="213" t="s">
        <v>11</v>
      </c>
      <c r="D679" s="83">
        <v>91</v>
      </c>
      <c r="E679" s="280">
        <v>11182</v>
      </c>
      <c r="F679" s="280">
        <v>10546</v>
      </c>
      <c r="G679" s="191" t="s">
        <v>140</v>
      </c>
      <c r="H679" s="292">
        <v>636</v>
      </c>
      <c r="I679" s="292">
        <v>0</v>
      </c>
      <c r="J679" s="292">
        <v>0</v>
      </c>
      <c r="K679" s="292">
        <v>0</v>
      </c>
      <c r="L679" s="292">
        <v>636</v>
      </c>
    </row>
    <row r="680" spans="1:12" x14ac:dyDescent="0.25">
      <c r="A680" s="83" t="s">
        <v>399</v>
      </c>
      <c r="B680" s="213" t="s">
        <v>75</v>
      </c>
      <c r="C680" s="213" t="s">
        <v>16</v>
      </c>
      <c r="D680" s="83">
        <v>192</v>
      </c>
      <c r="E680" s="280">
        <v>345937</v>
      </c>
      <c r="F680" s="280">
        <v>317957</v>
      </c>
      <c r="G680" s="191" t="s">
        <v>140</v>
      </c>
      <c r="H680" s="292">
        <v>27980</v>
      </c>
      <c r="I680" s="292">
        <v>0</v>
      </c>
      <c r="J680" s="292">
        <v>0</v>
      </c>
      <c r="K680" s="292">
        <v>0</v>
      </c>
      <c r="L680" s="292">
        <v>27980</v>
      </c>
    </row>
    <row r="681" spans="1:12" ht="15" customHeight="1" x14ac:dyDescent="0.25">
      <c r="A681" s="83" t="s">
        <v>399</v>
      </c>
      <c r="B681" s="213" t="s">
        <v>518</v>
      </c>
      <c r="C681" s="213" t="s">
        <v>17</v>
      </c>
      <c r="D681" s="83">
        <v>26</v>
      </c>
      <c r="E681" s="280">
        <v>43202517</v>
      </c>
      <c r="F681" s="280">
        <v>40579200</v>
      </c>
      <c r="G681" s="191" t="s">
        <v>140</v>
      </c>
      <c r="H681" s="292">
        <v>2623317</v>
      </c>
      <c r="I681" s="292">
        <v>2628221</v>
      </c>
      <c r="J681" s="292">
        <v>940748</v>
      </c>
      <c r="K681" s="292">
        <v>1687473</v>
      </c>
      <c r="L681" s="292">
        <v>935844</v>
      </c>
    </row>
    <row r="682" spans="1:12" ht="30.75" customHeight="1" x14ac:dyDescent="0.25">
      <c r="A682" s="83" t="s">
        <v>399</v>
      </c>
      <c r="B682" s="213" t="s">
        <v>76</v>
      </c>
      <c r="C682" s="213" t="s">
        <v>17</v>
      </c>
      <c r="D682" s="83">
        <v>297</v>
      </c>
      <c r="E682" s="280">
        <v>178572293</v>
      </c>
      <c r="F682" s="280">
        <v>149988236</v>
      </c>
      <c r="G682" s="191" t="s">
        <v>140</v>
      </c>
      <c r="H682" s="292">
        <v>28584057</v>
      </c>
      <c r="I682" s="292">
        <v>0</v>
      </c>
      <c r="J682" s="292">
        <v>0</v>
      </c>
      <c r="K682" s="292">
        <v>0</v>
      </c>
      <c r="L682" s="292">
        <v>28584057</v>
      </c>
    </row>
    <row r="683" spans="1:12" ht="15.75" customHeight="1" x14ac:dyDescent="0.25">
      <c r="A683" s="83" t="s">
        <v>399</v>
      </c>
      <c r="B683" s="213" t="s">
        <v>77</v>
      </c>
      <c r="C683" s="213" t="s">
        <v>18</v>
      </c>
      <c r="D683" s="83">
        <v>166</v>
      </c>
      <c r="E683" s="280">
        <v>6863320</v>
      </c>
      <c r="F683" s="280">
        <v>6312299</v>
      </c>
      <c r="G683" s="191" t="s">
        <v>140</v>
      </c>
      <c r="H683" s="292">
        <v>551021</v>
      </c>
      <c r="I683" s="292">
        <v>0</v>
      </c>
      <c r="J683" s="292">
        <v>0</v>
      </c>
      <c r="K683" s="292">
        <v>0</v>
      </c>
      <c r="L683" s="292">
        <v>551021</v>
      </c>
    </row>
    <row r="684" spans="1:12" x14ac:dyDescent="0.25">
      <c r="A684" s="83" t="s">
        <v>399</v>
      </c>
      <c r="B684" s="213" t="s">
        <v>473</v>
      </c>
      <c r="C684" s="213" t="s">
        <v>474</v>
      </c>
      <c r="D684" s="83">
        <v>268</v>
      </c>
      <c r="E684" s="280">
        <v>6928053</v>
      </c>
      <c r="F684" s="280">
        <v>5751723</v>
      </c>
      <c r="G684" s="191" t="s">
        <v>140</v>
      </c>
      <c r="H684" s="292">
        <v>1176330</v>
      </c>
      <c r="I684" s="292">
        <v>0</v>
      </c>
      <c r="J684" s="292">
        <v>0</v>
      </c>
      <c r="K684" s="292">
        <v>0</v>
      </c>
      <c r="L684" s="292">
        <v>1176330</v>
      </c>
    </row>
    <row r="685" spans="1:12" x14ac:dyDescent="0.25">
      <c r="A685" s="83" t="s">
        <v>399</v>
      </c>
      <c r="B685" s="213" t="s">
        <v>80</v>
      </c>
      <c r="C685" s="213" t="s">
        <v>21</v>
      </c>
      <c r="D685" s="83">
        <v>32</v>
      </c>
      <c r="E685" s="280">
        <v>3940566</v>
      </c>
      <c r="F685" s="280">
        <v>3912544</v>
      </c>
      <c r="G685" s="191" t="s">
        <v>140</v>
      </c>
      <c r="H685" s="292">
        <v>28022</v>
      </c>
      <c r="I685" s="292">
        <v>0</v>
      </c>
      <c r="J685" s="292">
        <v>0</v>
      </c>
      <c r="K685" s="292">
        <v>0</v>
      </c>
      <c r="L685" s="292">
        <v>28022</v>
      </c>
    </row>
    <row r="686" spans="1:12" ht="15" customHeight="1" x14ac:dyDescent="0.25">
      <c r="A686" s="83" t="s">
        <v>399</v>
      </c>
      <c r="B686" s="213" t="s">
        <v>491</v>
      </c>
      <c r="C686" s="213" t="s">
        <v>19</v>
      </c>
      <c r="D686" s="83">
        <v>230</v>
      </c>
      <c r="E686" s="280">
        <v>5033509</v>
      </c>
      <c r="F686" s="280">
        <v>5003200</v>
      </c>
      <c r="G686" s="191" t="s">
        <v>140</v>
      </c>
      <c r="H686" s="292">
        <v>30309</v>
      </c>
      <c r="I686" s="292">
        <v>0</v>
      </c>
      <c r="J686" s="292">
        <v>0</v>
      </c>
      <c r="K686" s="292">
        <v>0</v>
      </c>
      <c r="L686" s="292">
        <v>30309</v>
      </c>
    </row>
    <row r="687" spans="1:12" x14ac:dyDescent="0.25">
      <c r="A687" s="83" t="s">
        <v>399</v>
      </c>
      <c r="B687" s="213" t="s">
        <v>475</v>
      </c>
      <c r="C687" s="213" t="s">
        <v>476</v>
      </c>
      <c r="D687" s="83">
        <v>148</v>
      </c>
      <c r="E687" s="280">
        <v>14798</v>
      </c>
      <c r="F687" s="280">
        <v>11934</v>
      </c>
      <c r="G687" s="191" t="s">
        <v>140</v>
      </c>
      <c r="H687" s="292">
        <v>2864</v>
      </c>
      <c r="I687" s="292">
        <v>0</v>
      </c>
      <c r="J687" s="292">
        <v>0</v>
      </c>
      <c r="K687" s="292">
        <v>0</v>
      </c>
      <c r="L687" s="292">
        <v>2864</v>
      </c>
    </row>
    <row r="688" spans="1:12" x14ac:dyDescent="0.25">
      <c r="A688" s="83" t="s">
        <v>399</v>
      </c>
      <c r="B688" s="213" t="s">
        <v>81</v>
      </c>
      <c r="C688" s="213" t="s">
        <v>22</v>
      </c>
      <c r="D688" s="83">
        <v>153</v>
      </c>
      <c r="E688" s="280">
        <v>4736153</v>
      </c>
      <c r="F688" s="280">
        <v>4678559</v>
      </c>
      <c r="G688" s="191" t="s">
        <v>140</v>
      </c>
      <c r="H688" s="292">
        <v>57594</v>
      </c>
      <c r="I688" s="292">
        <v>1319463</v>
      </c>
      <c r="J688" s="292">
        <v>1295960</v>
      </c>
      <c r="K688" s="292">
        <v>23503</v>
      </c>
      <c r="L688" s="292">
        <v>34091</v>
      </c>
    </row>
    <row r="689" spans="1:12" x14ac:dyDescent="0.25">
      <c r="A689" s="83" t="s">
        <v>399</v>
      </c>
      <c r="B689" s="213" t="s">
        <v>457</v>
      </c>
      <c r="C689" s="213" t="s">
        <v>458</v>
      </c>
      <c r="D689" s="83">
        <v>155</v>
      </c>
      <c r="E689" s="280">
        <v>1185878</v>
      </c>
      <c r="F689" s="280">
        <v>1112778</v>
      </c>
      <c r="G689" s="191" t="s">
        <v>140</v>
      </c>
      <c r="H689" s="292">
        <v>73100</v>
      </c>
      <c r="I689" s="292">
        <v>0</v>
      </c>
      <c r="J689" s="292">
        <v>0</v>
      </c>
      <c r="K689" s="292">
        <v>0</v>
      </c>
      <c r="L689" s="292">
        <v>73100</v>
      </c>
    </row>
    <row r="690" spans="1:12" x14ac:dyDescent="0.25">
      <c r="A690" s="83" t="s">
        <v>399</v>
      </c>
      <c r="B690" s="213" t="s">
        <v>525</v>
      </c>
      <c r="C690" s="213" t="s">
        <v>526</v>
      </c>
      <c r="D690" s="83">
        <v>157</v>
      </c>
      <c r="E690" s="280">
        <v>1550124</v>
      </c>
      <c r="F690" s="280">
        <v>1376323</v>
      </c>
      <c r="G690" s="191" t="s">
        <v>140</v>
      </c>
      <c r="H690" s="292">
        <v>173801</v>
      </c>
      <c r="I690" s="292">
        <v>0</v>
      </c>
      <c r="J690" s="292">
        <v>0</v>
      </c>
      <c r="K690" s="292">
        <v>0</v>
      </c>
      <c r="L690" s="292">
        <v>173801</v>
      </c>
    </row>
    <row r="691" spans="1:12" x14ac:dyDescent="0.25">
      <c r="A691" s="83" t="s">
        <v>399</v>
      </c>
      <c r="B691" s="213" t="s">
        <v>338</v>
      </c>
      <c r="C691" s="213" t="s">
        <v>339</v>
      </c>
      <c r="D691" s="83">
        <v>42</v>
      </c>
      <c r="E691" s="280">
        <v>16466343</v>
      </c>
      <c r="F691" s="280">
        <v>15476282</v>
      </c>
      <c r="G691" s="191" t="s">
        <v>140</v>
      </c>
      <c r="H691" s="292">
        <v>990061</v>
      </c>
      <c r="I691" s="292">
        <v>0</v>
      </c>
      <c r="J691" s="292">
        <v>0</v>
      </c>
      <c r="K691" s="292">
        <v>0</v>
      </c>
      <c r="L691" s="292">
        <v>990061</v>
      </c>
    </row>
    <row r="692" spans="1:12" ht="45.75" x14ac:dyDescent="0.25">
      <c r="A692" s="83" t="s">
        <v>399</v>
      </c>
      <c r="B692" s="213" t="s">
        <v>514</v>
      </c>
      <c r="C692" s="213" t="s">
        <v>515</v>
      </c>
      <c r="D692" s="83">
        <v>265</v>
      </c>
      <c r="E692" s="280">
        <v>2861402</v>
      </c>
      <c r="F692" s="280">
        <v>2768647</v>
      </c>
      <c r="G692" s="191" t="s">
        <v>140</v>
      </c>
      <c r="H692" s="292">
        <v>92755</v>
      </c>
      <c r="I692" s="292">
        <v>0</v>
      </c>
      <c r="J692" s="292">
        <v>0</v>
      </c>
      <c r="K692" s="292">
        <v>0</v>
      </c>
      <c r="L692" s="292">
        <v>92755</v>
      </c>
    </row>
    <row r="693" spans="1:12" x14ac:dyDescent="0.25">
      <c r="A693" s="83" t="s">
        <v>399</v>
      </c>
      <c r="B693" s="213" t="s">
        <v>83</v>
      </c>
      <c r="C693" s="213" t="s">
        <v>17</v>
      </c>
      <c r="D693" s="83">
        <v>48</v>
      </c>
      <c r="E693" s="280">
        <v>12433793</v>
      </c>
      <c r="F693" s="280">
        <v>11714663</v>
      </c>
      <c r="G693" s="191" t="s">
        <v>140</v>
      </c>
      <c r="H693" s="292">
        <v>719130</v>
      </c>
      <c r="I693" s="292">
        <v>0</v>
      </c>
      <c r="J693" s="292">
        <v>0</v>
      </c>
      <c r="K693" s="292">
        <v>0</v>
      </c>
      <c r="L693" s="292">
        <v>719130</v>
      </c>
    </row>
    <row r="694" spans="1:12" ht="30.75" x14ac:dyDescent="0.25">
      <c r="A694" s="83" t="s">
        <v>399</v>
      </c>
      <c r="B694" s="213" t="s">
        <v>519</v>
      </c>
      <c r="C694" s="213" t="s">
        <v>449</v>
      </c>
      <c r="D694" s="83">
        <v>150</v>
      </c>
      <c r="E694" s="280">
        <v>5726692</v>
      </c>
      <c r="F694" s="280">
        <v>5639598</v>
      </c>
      <c r="G694" s="191" t="s">
        <v>140</v>
      </c>
      <c r="H694" s="292">
        <v>87094</v>
      </c>
      <c r="I694" s="292">
        <v>1191913</v>
      </c>
      <c r="J694" s="292">
        <v>1172322</v>
      </c>
      <c r="K694" s="292">
        <v>19591</v>
      </c>
      <c r="L694" s="292">
        <v>67503</v>
      </c>
    </row>
    <row r="695" spans="1:12" ht="15" customHeight="1" x14ac:dyDescent="0.25">
      <c r="A695" s="83" t="s">
        <v>399</v>
      </c>
      <c r="B695" s="213" t="s">
        <v>326</v>
      </c>
      <c r="C695" s="213" t="s">
        <v>327</v>
      </c>
      <c r="D695" s="83">
        <v>218</v>
      </c>
      <c r="E695" s="280">
        <v>3283340</v>
      </c>
      <c r="F695" s="280">
        <v>3000113</v>
      </c>
      <c r="G695" s="191" t="s">
        <v>140</v>
      </c>
      <c r="H695" s="292">
        <v>283227</v>
      </c>
      <c r="I695" s="292">
        <v>0</v>
      </c>
      <c r="J695" s="292">
        <v>0</v>
      </c>
      <c r="K695" s="292">
        <v>0</v>
      </c>
      <c r="L695" s="292">
        <v>283227</v>
      </c>
    </row>
    <row r="696" spans="1:12" ht="15" customHeight="1" x14ac:dyDescent="0.25">
      <c r="A696" s="83" t="s">
        <v>399</v>
      </c>
      <c r="B696" s="213" t="s">
        <v>528</v>
      </c>
      <c r="C696" s="213" t="s">
        <v>529</v>
      </c>
      <c r="D696" s="83">
        <v>151</v>
      </c>
      <c r="E696" s="280">
        <v>0</v>
      </c>
      <c r="F696" s="280">
        <v>0</v>
      </c>
      <c r="G696" s="191" t="s">
        <v>140</v>
      </c>
      <c r="H696" s="292">
        <v>0</v>
      </c>
      <c r="I696" s="292">
        <v>154522</v>
      </c>
      <c r="J696" s="292">
        <v>150626</v>
      </c>
      <c r="K696" s="292">
        <v>3896</v>
      </c>
      <c r="L696" s="292">
        <v>-3896</v>
      </c>
    </row>
    <row r="697" spans="1:12" ht="15" customHeight="1" x14ac:dyDescent="0.25">
      <c r="A697" s="83" t="s">
        <v>399</v>
      </c>
      <c r="B697" s="213" t="s">
        <v>530</v>
      </c>
      <c r="C697" s="213" t="s">
        <v>11</v>
      </c>
      <c r="D697" s="83">
        <v>271</v>
      </c>
      <c r="E697" s="280">
        <v>4310781</v>
      </c>
      <c r="F697" s="280">
        <v>3965770</v>
      </c>
      <c r="G697" s="191" t="s">
        <v>140</v>
      </c>
      <c r="H697" s="292">
        <v>345011</v>
      </c>
      <c r="I697" s="292">
        <v>0</v>
      </c>
      <c r="J697" s="292">
        <v>0</v>
      </c>
      <c r="K697" s="292">
        <v>0</v>
      </c>
      <c r="L697" s="292">
        <v>345011</v>
      </c>
    </row>
    <row r="698" spans="1:12" ht="45.75" x14ac:dyDescent="0.25">
      <c r="A698" s="83" t="s">
        <v>399</v>
      </c>
      <c r="B698" s="213" t="s">
        <v>498</v>
      </c>
      <c r="C698" s="213" t="s">
        <v>499</v>
      </c>
      <c r="D698" s="83">
        <v>329</v>
      </c>
      <c r="E698" s="280">
        <v>824841</v>
      </c>
      <c r="F698" s="280">
        <v>761992</v>
      </c>
      <c r="G698" s="191" t="s">
        <v>140</v>
      </c>
      <c r="H698" s="292">
        <v>62849</v>
      </c>
      <c r="I698" s="292">
        <v>0</v>
      </c>
      <c r="J698" s="292">
        <v>0</v>
      </c>
      <c r="K698" s="292">
        <v>0</v>
      </c>
      <c r="L698" s="292">
        <v>62849</v>
      </c>
    </row>
    <row r="699" spans="1:12" ht="30.75" x14ac:dyDescent="0.25">
      <c r="A699" s="83" t="s">
        <v>399</v>
      </c>
      <c r="B699" s="213" t="s">
        <v>466</v>
      </c>
      <c r="C699" s="213" t="s">
        <v>467</v>
      </c>
      <c r="D699" s="83">
        <v>261</v>
      </c>
      <c r="E699" s="280">
        <v>1283024</v>
      </c>
      <c r="F699" s="280">
        <v>1278443</v>
      </c>
      <c r="G699" s="191" t="s">
        <v>140</v>
      </c>
      <c r="H699" s="292">
        <v>4581</v>
      </c>
      <c r="I699" s="292">
        <v>0</v>
      </c>
      <c r="J699" s="292">
        <v>0</v>
      </c>
      <c r="K699" s="292">
        <v>0</v>
      </c>
      <c r="L699" s="292">
        <v>4581</v>
      </c>
    </row>
    <row r="700" spans="1:12" x14ac:dyDescent="0.25">
      <c r="A700" s="83" t="s">
        <v>399</v>
      </c>
      <c r="B700" s="213" t="s">
        <v>461</v>
      </c>
      <c r="C700" s="213" t="s">
        <v>25</v>
      </c>
      <c r="D700" s="83">
        <v>244</v>
      </c>
      <c r="E700" s="280">
        <v>3003669</v>
      </c>
      <c r="F700" s="280">
        <v>2979014</v>
      </c>
      <c r="G700" s="191" t="s">
        <v>140</v>
      </c>
      <c r="H700" s="292">
        <v>24655</v>
      </c>
      <c r="I700" s="292">
        <v>0</v>
      </c>
      <c r="J700" s="292">
        <v>0</v>
      </c>
      <c r="K700" s="292">
        <v>0</v>
      </c>
      <c r="L700" s="292">
        <v>24655</v>
      </c>
    </row>
    <row r="701" spans="1:12" x14ac:dyDescent="0.25">
      <c r="A701" s="83" t="s">
        <v>399</v>
      </c>
      <c r="B701" s="213" t="s">
        <v>511</v>
      </c>
      <c r="C701" s="213" t="s">
        <v>512</v>
      </c>
      <c r="D701" s="83">
        <v>182</v>
      </c>
      <c r="E701" s="280">
        <v>283789</v>
      </c>
      <c r="F701" s="280">
        <v>7758</v>
      </c>
      <c r="G701" s="191" t="s">
        <v>140</v>
      </c>
      <c r="H701" s="292">
        <v>276031</v>
      </c>
      <c r="I701" s="292">
        <v>0</v>
      </c>
      <c r="J701" s="292">
        <v>0</v>
      </c>
      <c r="K701" s="292">
        <v>0</v>
      </c>
      <c r="L701" s="292">
        <v>276031</v>
      </c>
    </row>
    <row r="702" spans="1:12" x14ac:dyDescent="0.25">
      <c r="A702" s="83" t="s">
        <v>399</v>
      </c>
      <c r="B702" s="213" t="s">
        <v>477</v>
      </c>
      <c r="C702" s="213" t="s">
        <v>17</v>
      </c>
      <c r="D702" s="83">
        <v>280</v>
      </c>
      <c r="E702" s="280">
        <v>10081</v>
      </c>
      <c r="F702" s="280">
        <v>8652</v>
      </c>
      <c r="G702" s="191" t="s">
        <v>140</v>
      </c>
      <c r="H702" s="292">
        <v>1429</v>
      </c>
      <c r="I702" s="292">
        <v>0</v>
      </c>
      <c r="J702" s="292">
        <v>0</v>
      </c>
      <c r="K702" s="292">
        <v>0</v>
      </c>
      <c r="L702" s="292">
        <v>1429</v>
      </c>
    </row>
    <row r="703" spans="1:12" ht="30.75" x14ac:dyDescent="0.25">
      <c r="A703" s="83" t="s">
        <v>399</v>
      </c>
      <c r="B703" s="213" t="s">
        <v>500</v>
      </c>
      <c r="C703" s="213" t="s">
        <v>11</v>
      </c>
      <c r="D703" s="83">
        <v>176</v>
      </c>
      <c r="E703" s="280">
        <v>3178106</v>
      </c>
      <c r="F703" s="280">
        <v>2910951</v>
      </c>
      <c r="G703" s="191" t="s">
        <v>140</v>
      </c>
      <c r="H703" s="292">
        <v>267155</v>
      </c>
      <c r="I703" s="292">
        <v>337</v>
      </c>
      <c r="J703" s="292">
        <v>0</v>
      </c>
      <c r="K703" s="292">
        <v>337</v>
      </c>
      <c r="L703" s="292">
        <v>266818</v>
      </c>
    </row>
    <row r="704" spans="1:12" x14ac:dyDescent="0.25">
      <c r="A704" s="83" t="s">
        <v>399</v>
      </c>
      <c r="B704" s="213" t="s">
        <v>507</v>
      </c>
      <c r="C704" s="213" t="s">
        <v>508</v>
      </c>
      <c r="D704" s="83">
        <v>57</v>
      </c>
      <c r="E704" s="280">
        <v>1056004</v>
      </c>
      <c r="F704" s="280">
        <v>948908</v>
      </c>
      <c r="G704" s="191" t="s">
        <v>140</v>
      </c>
      <c r="H704" s="292">
        <v>107096</v>
      </c>
      <c r="I704" s="292">
        <v>0</v>
      </c>
      <c r="J704" s="292">
        <v>0</v>
      </c>
      <c r="K704" s="292">
        <v>0</v>
      </c>
      <c r="L704" s="292">
        <v>107096</v>
      </c>
    </row>
    <row r="705" spans="1:12" ht="15.75" customHeight="1" x14ac:dyDescent="0.25">
      <c r="A705" s="83" t="s">
        <v>399</v>
      </c>
      <c r="B705" s="213" t="s">
        <v>85</v>
      </c>
      <c r="C705" s="213" t="s">
        <v>26</v>
      </c>
      <c r="D705" s="83">
        <v>171</v>
      </c>
      <c r="E705" s="280">
        <v>1823009</v>
      </c>
      <c r="F705" s="280">
        <v>1710342</v>
      </c>
      <c r="G705" s="191" t="s">
        <v>140</v>
      </c>
      <c r="H705" s="292">
        <v>112667</v>
      </c>
      <c r="I705" s="292">
        <v>0</v>
      </c>
      <c r="J705" s="292">
        <v>0</v>
      </c>
      <c r="K705" s="292">
        <v>0</v>
      </c>
      <c r="L705" s="292">
        <v>112667</v>
      </c>
    </row>
    <row r="706" spans="1:12" x14ac:dyDescent="0.25">
      <c r="A706" s="83" t="s">
        <v>399</v>
      </c>
      <c r="B706" s="213" t="s">
        <v>509</v>
      </c>
      <c r="C706" s="213" t="s">
        <v>510</v>
      </c>
      <c r="D706" s="83">
        <v>58</v>
      </c>
      <c r="E706" s="280">
        <v>2981606</v>
      </c>
      <c r="F706" s="280">
        <v>2966560</v>
      </c>
      <c r="G706" s="191" t="s">
        <v>140</v>
      </c>
      <c r="H706" s="292">
        <v>15046</v>
      </c>
      <c r="I706" s="292">
        <v>0</v>
      </c>
      <c r="J706" s="292">
        <v>0</v>
      </c>
      <c r="K706" s="292">
        <v>0</v>
      </c>
      <c r="L706" s="292">
        <v>15046</v>
      </c>
    </row>
    <row r="707" spans="1:12" x14ac:dyDescent="0.25">
      <c r="A707" s="83" t="s">
        <v>399</v>
      </c>
      <c r="B707" s="213" t="s">
        <v>480</v>
      </c>
      <c r="C707" s="213" t="s">
        <v>481</v>
      </c>
      <c r="D707" s="83">
        <v>308</v>
      </c>
      <c r="E707" s="280">
        <v>68777</v>
      </c>
      <c r="F707" s="280">
        <v>28480</v>
      </c>
      <c r="G707" s="191" t="s">
        <v>140</v>
      </c>
      <c r="H707" s="292">
        <v>40297</v>
      </c>
      <c r="I707" s="292">
        <v>0</v>
      </c>
      <c r="J707" s="292">
        <v>0</v>
      </c>
      <c r="K707" s="292">
        <v>0</v>
      </c>
      <c r="L707" s="292">
        <v>40297</v>
      </c>
    </row>
    <row r="708" spans="1:12" x14ac:dyDescent="0.25">
      <c r="A708" s="83" t="s">
        <v>399</v>
      </c>
      <c r="B708" s="213" t="s">
        <v>87</v>
      </c>
      <c r="C708" s="213" t="s">
        <v>17</v>
      </c>
      <c r="D708" s="83">
        <v>260</v>
      </c>
      <c r="E708" s="280">
        <v>19666966</v>
      </c>
      <c r="F708" s="280">
        <v>18822233</v>
      </c>
      <c r="G708" s="191" t="s">
        <v>140</v>
      </c>
      <c r="H708" s="292">
        <v>844733</v>
      </c>
      <c r="I708" s="292">
        <v>874947</v>
      </c>
      <c r="J708" s="292">
        <v>874947</v>
      </c>
      <c r="K708" s="292">
        <v>0</v>
      </c>
      <c r="L708" s="292">
        <v>844733</v>
      </c>
    </row>
    <row r="709" spans="1:12" x14ac:dyDescent="0.25">
      <c r="A709" s="83" t="s">
        <v>399</v>
      </c>
      <c r="B709" s="213" t="s">
        <v>462</v>
      </c>
      <c r="C709" s="213" t="s">
        <v>463</v>
      </c>
      <c r="D709" s="83">
        <v>346</v>
      </c>
      <c r="E709" s="280">
        <v>6162</v>
      </c>
      <c r="F709" s="280">
        <v>4027</v>
      </c>
      <c r="G709" s="191" t="s">
        <v>140</v>
      </c>
      <c r="H709" s="292">
        <v>2135</v>
      </c>
      <c r="I709" s="292">
        <v>0</v>
      </c>
      <c r="J709" s="292">
        <v>0</v>
      </c>
      <c r="K709" s="292">
        <v>0</v>
      </c>
      <c r="L709" s="292">
        <v>2135</v>
      </c>
    </row>
    <row r="710" spans="1:12" x14ac:dyDescent="0.25">
      <c r="A710" s="83" t="s">
        <v>399</v>
      </c>
      <c r="B710" s="213" t="s">
        <v>89</v>
      </c>
      <c r="C710" s="213" t="s">
        <v>28</v>
      </c>
      <c r="D710" s="83">
        <v>351</v>
      </c>
      <c r="E710" s="280">
        <v>49627</v>
      </c>
      <c r="F710" s="280">
        <v>46027</v>
      </c>
      <c r="G710" s="191" t="s">
        <v>140</v>
      </c>
      <c r="H710" s="292">
        <v>3600</v>
      </c>
      <c r="I710" s="292">
        <v>0</v>
      </c>
      <c r="J710" s="292">
        <v>0</v>
      </c>
      <c r="K710" s="292">
        <v>0</v>
      </c>
      <c r="L710" s="292">
        <v>3600</v>
      </c>
    </row>
    <row r="711" spans="1:12" ht="15.75" customHeight="1" x14ac:dyDescent="0.25">
      <c r="A711" s="199" t="s">
        <v>400</v>
      </c>
      <c r="B711" s="214" t="s">
        <v>140</v>
      </c>
      <c r="C711" s="214" t="s">
        <v>140</v>
      </c>
      <c r="D711" s="214" t="s">
        <v>140</v>
      </c>
      <c r="E711" s="293">
        <f>SUBTOTAL(109,school200506[Program
Costs])</f>
        <v>427207125</v>
      </c>
      <c r="F711" s="293">
        <f>SUBTOTAL(109,school200506[Less: Net Payments and Offsets2])</f>
        <v>382189807</v>
      </c>
      <c r="G711" s="214" t="s">
        <v>140</v>
      </c>
      <c r="H711" s="293">
        <f>SUBTOTAL(109,school200506[Accounts Payable
Balance])</f>
        <v>45017318</v>
      </c>
      <c r="I711" s="293">
        <f>SUBTOTAL(109,school200506[Established
Accounts Receivable])</f>
        <v>12998953</v>
      </c>
      <c r="J711" s="293">
        <f>SUBTOTAL(109,school200506[Less: Recovered Amount])</f>
        <v>10179156</v>
      </c>
      <c r="K711" s="293">
        <f>SUBTOTAL(109,school200506[Accounts Receivable
Balance])</f>
        <v>2819797</v>
      </c>
      <c r="L711" s="293">
        <f>SUBTOTAL(109,school200506[Net
Balance])</f>
        <v>42197521</v>
      </c>
    </row>
    <row r="712" spans="1:12" x14ac:dyDescent="0.25">
      <c r="A712" s="195" t="s">
        <v>141</v>
      </c>
      <c r="B712" s="142"/>
      <c r="C712" s="142"/>
      <c r="D712" s="142"/>
      <c r="E712" s="26"/>
      <c r="F712" s="26"/>
      <c r="G712" s="196"/>
      <c r="H712" s="26"/>
      <c r="I712" s="26"/>
      <c r="J712" s="26"/>
      <c r="K712" s="26"/>
      <c r="L712" s="26"/>
    </row>
    <row r="713" spans="1:12" ht="50.1" customHeight="1" x14ac:dyDescent="0.25">
      <c r="A713" s="10" t="s">
        <v>5</v>
      </c>
      <c r="B713" s="10" t="s">
        <v>6</v>
      </c>
      <c r="C713" s="10" t="s">
        <v>0</v>
      </c>
      <c r="D713" s="10" t="s">
        <v>441</v>
      </c>
      <c r="E713" s="215" t="s">
        <v>234</v>
      </c>
      <c r="F713" s="216" t="s">
        <v>452</v>
      </c>
      <c r="G713" s="217" t="s">
        <v>142</v>
      </c>
      <c r="H713" s="215" t="s">
        <v>444</v>
      </c>
      <c r="I713" s="215" t="s">
        <v>445</v>
      </c>
      <c r="J713" s="215" t="s">
        <v>446</v>
      </c>
      <c r="K713" s="215" t="s">
        <v>447</v>
      </c>
      <c r="L713" s="215" t="s">
        <v>305</v>
      </c>
    </row>
    <row r="714" spans="1:12" x14ac:dyDescent="0.25">
      <c r="A714" s="83" t="s">
        <v>401</v>
      </c>
      <c r="B714" s="213" t="s">
        <v>501</v>
      </c>
      <c r="C714" s="213" t="s">
        <v>502</v>
      </c>
      <c r="D714" s="83">
        <v>269</v>
      </c>
      <c r="E714" s="280">
        <v>11498</v>
      </c>
      <c r="F714" s="280">
        <v>10225</v>
      </c>
      <c r="G714" s="191" t="s">
        <v>140</v>
      </c>
      <c r="H714" s="292">
        <v>1273</v>
      </c>
      <c r="I714" s="292">
        <v>0</v>
      </c>
      <c r="J714" s="292">
        <v>0</v>
      </c>
      <c r="K714" s="292">
        <v>0</v>
      </c>
      <c r="L714" s="292">
        <v>1273</v>
      </c>
    </row>
    <row r="715" spans="1:12" ht="30.75" x14ac:dyDescent="0.25">
      <c r="A715" s="83" t="s">
        <v>401</v>
      </c>
      <c r="B715" s="213" t="s">
        <v>531</v>
      </c>
      <c r="C715" s="213" t="s">
        <v>532</v>
      </c>
      <c r="D715" s="83">
        <v>179</v>
      </c>
      <c r="E715" s="280">
        <v>35823</v>
      </c>
      <c r="F715" s="280">
        <v>35823</v>
      </c>
      <c r="G715" s="191" t="s">
        <v>140</v>
      </c>
      <c r="H715" s="292">
        <v>0</v>
      </c>
      <c r="I715" s="292">
        <v>1728</v>
      </c>
      <c r="J715" s="292">
        <v>0</v>
      </c>
      <c r="K715" s="292">
        <v>1728</v>
      </c>
      <c r="L715" s="292">
        <v>-1728</v>
      </c>
    </row>
    <row r="716" spans="1:12" ht="30.75" x14ac:dyDescent="0.25">
      <c r="A716" s="83" t="s">
        <v>401</v>
      </c>
      <c r="B716" s="213" t="s">
        <v>533</v>
      </c>
      <c r="C716" s="213" t="s">
        <v>8</v>
      </c>
      <c r="D716" s="83">
        <v>221</v>
      </c>
      <c r="E716" s="280">
        <v>6550640</v>
      </c>
      <c r="F716" s="280">
        <v>6550640</v>
      </c>
      <c r="G716" s="191" t="s">
        <v>140</v>
      </c>
      <c r="H716" s="292">
        <v>0</v>
      </c>
      <c r="I716" s="292">
        <v>11682</v>
      </c>
      <c r="J716" s="292">
        <v>1131</v>
      </c>
      <c r="K716" s="292">
        <v>10551</v>
      </c>
      <c r="L716" s="292">
        <v>-10551</v>
      </c>
    </row>
    <row r="717" spans="1:12" ht="30.75" x14ac:dyDescent="0.25">
      <c r="A717" s="83" t="s">
        <v>401</v>
      </c>
      <c r="B717" s="213" t="s">
        <v>495</v>
      </c>
      <c r="C717" s="213" t="s">
        <v>490</v>
      </c>
      <c r="D717" s="83">
        <v>348</v>
      </c>
      <c r="E717" s="280">
        <v>45784627</v>
      </c>
      <c r="F717" s="280">
        <v>40536570</v>
      </c>
      <c r="G717" s="191" t="s">
        <v>140</v>
      </c>
      <c r="H717" s="292">
        <v>5248057</v>
      </c>
      <c r="I717" s="292">
        <v>0</v>
      </c>
      <c r="J717" s="292">
        <v>0</v>
      </c>
      <c r="K717" s="292">
        <v>0</v>
      </c>
      <c r="L717" s="292">
        <v>5248057</v>
      </c>
    </row>
    <row r="718" spans="1:12" ht="30.75" customHeight="1" x14ac:dyDescent="0.25">
      <c r="A718" s="83" t="s">
        <v>401</v>
      </c>
      <c r="B718" s="213" t="s">
        <v>483</v>
      </c>
      <c r="C718" s="213" t="s">
        <v>484</v>
      </c>
      <c r="D718" s="83">
        <v>286</v>
      </c>
      <c r="E718" s="280">
        <v>84930</v>
      </c>
      <c r="F718" s="280">
        <v>83406</v>
      </c>
      <c r="G718" s="191" t="s">
        <v>140</v>
      </c>
      <c r="H718" s="292">
        <v>1524</v>
      </c>
      <c r="I718" s="292">
        <v>0</v>
      </c>
      <c r="J718" s="292">
        <v>0</v>
      </c>
      <c r="K718" s="292">
        <v>0</v>
      </c>
      <c r="L718" s="292">
        <v>1524</v>
      </c>
    </row>
    <row r="719" spans="1:12" ht="30.75" x14ac:dyDescent="0.25">
      <c r="A719" s="83" t="s">
        <v>401</v>
      </c>
      <c r="B719" s="213" t="s">
        <v>69</v>
      </c>
      <c r="C719" s="213" t="s">
        <v>10</v>
      </c>
      <c r="D719" s="83">
        <v>172</v>
      </c>
      <c r="E719" s="280">
        <v>862291</v>
      </c>
      <c r="F719" s="280">
        <v>862291</v>
      </c>
      <c r="G719" s="191" t="s">
        <v>140</v>
      </c>
      <c r="H719" s="292">
        <v>0</v>
      </c>
      <c r="I719" s="292">
        <v>8341</v>
      </c>
      <c r="J719" s="292">
        <v>0</v>
      </c>
      <c r="K719" s="292">
        <v>8341</v>
      </c>
      <c r="L719" s="292">
        <v>-8341</v>
      </c>
    </row>
    <row r="720" spans="1:12" ht="45.75" x14ac:dyDescent="0.25">
      <c r="A720" s="83" t="s">
        <v>401</v>
      </c>
      <c r="B720" s="213" t="s">
        <v>67</v>
      </c>
      <c r="C720" s="213" t="s">
        <v>8</v>
      </c>
      <c r="D720" s="83">
        <v>272</v>
      </c>
      <c r="E720" s="280">
        <v>3836796</v>
      </c>
      <c r="F720" s="280">
        <v>3836796</v>
      </c>
      <c r="G720" s="191" t="s">
        <v>140</v>
      </c>
      <c r="H720" s="292">
        <v>0</v>
      </c>
      <c r="I720" s="292">
        <v>232908</v>
      </c>
      <c r="J720" s="292">
        <v>228852</v>
      </c>
      <c r="K720" s="292">
        <v>4056</v>
      </c>
      <c r="L720" s="292">
        <v>-4056</v>
      </c>
    </row>
    <row r="721" spans="1:12" ht="45.75" x14ac:dyDescent="0.25">
      <c r="A721" s="83" t="s">
        <v>401</v>
      </c>
      <c r="B721" s="213" t="s">
        <v>516</v>
      </c>
      <c r="C721" s="213" t="s">
        <v>517</v>
      </c>
      <c r="D721" s="83">
        <v>291</v>
      </c>
      <c r="E721" s="280">
        <v>278636</v>
      </c>
      <c r="F721" s="280">
        <v>243156</v>
      </c>
      <c r="G721" s="191" t="s">
        <v>140</v>
      </c>
      <c r="H721" s="292">
        <v>35480</v>
      </c>
      <c r="I721" s="292">
        <v>0</v>
      </c>
      <c r="J721" s="292">
        <v>0</v>
      </c>
      <c r="K721" s="292">
        <v>0</v>
      </c>
      <c r="L721" s="292">
        <v>35480</v>
      </c>
    </row>
    <row r="722" spans="1:12" x14ac:dyDescent="0.25">
      <c r="A722" s="83" t="s">
        <v>401</v>
      </c>
      <c r="B722" s="213" t="s">
        <v>74</v>
      </c>
      <c r="C722" s="213" t="s">
        <v>15</v>
      </c>
      <c r="D722" s="83">
        <v>183</v>
      </c>
      <c r="E722" s="280">
        <v>973469</v>
      </c>
      <c r="F722" s="280">
        <v>973469</v>
      </c>
      <c r="G722" s="191" t="s">
        <v>140</v>
      </c>
      <c r="H722" s="292">
        <v>0</v>
      </c>
      <c r="I722" s="292">
        <v>4109</v>
      </c>
      <c r="J722" s="292">
        <v>2598</v>
      </c>
      <c r="K722" s="292">
        <v>1511</v>
      </c>
      <c r="L722" s="292">
        <v>-1511</v>
      </c>
    </row>
    <row r="723" spans="1:12" x14ac:dyDescent="0.25">
      <c r="A723" s="83" t="s">
        <v>401</v>
      </c>
      <c r="B723" s="213" t="s">
        <v>455</v>
      </c>
      <c r="C723" s="213" t="s">
        <v>456</v>
      </c>
      <c r="D723" s="83">
        <v>251</v>
      </c>
      <c r="E723" s="280">
        <v>410381</v>
      </c>
      <c r="F723" s="280">
        <v>410381</v>
      </c>
      <c r="G723" s="191" t="s">
        <v>140</v>
      </c>
      <c r="H723" s="292">
        <v>0</v>
      </c>
      <c r="I723" s="292">
        <v>13269</v>
      </c>
      <c r="J723" s="292">
        <v>0</v>
      </c>
      <c r="K723" s="292">
        <v>13269</v>
      </c>
      <c r="L723" s="292">
        <v>-13269</v>
      </c>
    </row>
    <row r="724" spans="1:12" ht="15" customHeight="1" x14ac:dyDescent="0.25">
      <c r="A724" s="83" t="s">
        <v>401</v>
      </c>
      <c r="B724" s="213" t="s">
        <v>534</v>
      </c>
      <c r="C724" s="213" t="s">
        <v>535</v>
      </c>
      <c r="D724" s="83">
        <v>225</v>
      </c>
      <c r="E724" s="280">
        <v>7701246</v>
      </c>
      <c r="F724" s="280">
        <v>7701246</v>
      </c>
      <c r="G724" s="191" t="s">
        <v>140</v>
      </c>
      <c r="H724" s="292">
        <v>0</v>
      </c>
      <c r="I724" s="292">
        <v>2282478</v>
      </c>
      <c r="J724" s="292">
        <v>2230738</v>
      </c>
      <c r="K724" s="292">
        <v>51740</v>
      </c>
      <c r="L724" s="292">
        <v>-51740</v>
      </c>
    </row>
    <row r="725" spans="1:12" x14ac:dyDescent="0.25">
      <c r="A725" s="83" t="s">
        <v>401</v>
      </c>
      <c r="B725" s="213" t="s">
        <v>75</v>
      </c>
      <c r="C725" s="213" t="s">
        <v>16</v>
      </c>
      <c r="D725" s="83">
        <v>192</v>
      </c>
      <c r="E725" s="280">
        <v>326816</v>
      </c>
      <c r="F725" s="280">
        <v>326816</v>
      </c>
      <c r="G725" s="191" t="s">
        <v>140</v>
      </c>
      <c r="H725" s="292">
        <v>0</v>
      </c>
      <c r="I725" s="292">
        <v>28443</v>
      </c>
      <c r="J725" s="292">
        <v>16875</v>
      </c>
      <c r="K725" s="292">
        <v>11568</v>
      </c>
      <c r="L725" s="292">
        <v>-11568</v>
      </c>
    </row>
    <row r="726" spans="1:12" ht="15.75" customHeight="1" x14ac:dyDescent="0.25">
      <c r="A726" s="83" t="s">
        <v>401</v>
      </c>
      <c r="B726" s="213" t="s">
        <v>518</v>
      </c>
      <c r="C726" s="213" t="s">
        <v>17</v>
      </c>
      <c r="D726" s="83">
        <v>26</v>
      </c>
      <c r="E726" s="280">
        <v>32114075</v>
      </c>
      <c r="F726" s="280">
        <v>29994233</v>
      </c>
      <c r="G726" s="191" t="s">
        <v>140</v>
      </c>
      <c r="H726" s="292">
        <v>2119842</v>
      </c>
      <c r="I726" s="292">
        <v>1642371</v>
      </c>
      <c r="J726" s="292">
        <v>0</v>
      </c>
      <c r="K726" s="292">
        <v>1642371</v>
      </c>
      <c r="L726" s="292">
        <v>477471</v>
      </c>
    </row>
    <row r="727" spans="1:12" ht="30.75" customHeight="1" x14ac:dyDescent="0.25">
      <c r="A727" s="83" t="s">
        <v>401</v>
      </c>
      <c r="B727" s="213" t="s">
        <v>536</v>
      </c>
      <c r="C727" s="213" t="s">
        <v>17</v>
      </c>
      <c r="D727" s="83">
        <v>296</v>
      </c>
      <c r="E727" s="280">
        <v>74192532</v>
      </c>
      <c r="F727" s="280">
        <v>69857272</v>
      </c>
      <c r="G727" s="191" t="s">
        <v>140</v>
      </c>
      <c r="H727" s="292">
        <v>4335260</v>
      </c>
      <c r="I727" s="292">
        <v>0</v>
      </c>
      <c r="J727" s="292">
        <v>0</v>
      </c>
      <c r="K727" s="292">
        <v>0</v>
      </c>
      <c r="L727" s="292">
        <v>4335260</v>
      </c>
    </row>
    <row r="728" spans="1:12" ht="30.75" x14ac:dyDescent="0.25">
      <c r="A728" s="83" t="s">
        <v>401</v>
      </c>
      <c r="B728" s="213" t="s">
        <v>76</v>
      </c>
      <c r="C728" s="213" t="s">
        <v>17</v>
      </c>
      <c r="D728" s="83">
        <v>297</v>
      </c>
      <c r="E728" s="280">
        <v>98984746</v>
      </c>
      <c r="F728" s="280">
        <v>88044270</v>
      </c>
      <c r="G728" s="191" t="s">
        <v>140</v>
      </c>
      <c r="H728" s="292">
        <v>10940476</v>
      </c>
      <c r="I728" s="292">
        <v>0</v>
      </c>
      <c r="J728" s="292">
        <v>0</v>
      </c>
      <c r="K728" s="292">
        <v>0</v>
      </c>
      <c r="L728" s="292">
        <v>10940476</v>
      </c>
    </row>
    <row r="729" spans="1:12" x14ac:dyDescent="0.25">
      <c r="A729" s="83" t="s">
        <v>401</v>
      </c>
      <c r="B729" s="213" t="s">
        <v>77</v>
      </c>
      <c r="C729" s="213" t="s">
        <v>18</v>
      </c>
      <c r="D729" s="83">
        <v>166</v>
      </c>
      <c r="E729" s="280">
        <v>6520086</v>
      </c>
      <c r="F729" s="280">
        <v>6520086</v>
      </c>
      <c r="G729" s="191" t="s">
        <v>140</v>
      </c>
      <c r="H729" s="292">
        <v>0</v>
      </c>
      <c r="I729" s="292">
        <v>86788</v>
      </c>
      <c r="J729" s="292">
        <v>11989</v>
      </c>
      <c r="K729" s="292">
        <v>74799</v>
      </c>
      <c r="L729" s="292">
        <v>-74799</v>
      </c>
    </row>
    <row r="730" spans="1:12" x14ac:dyDescent="0.25">
      <c r="A730" s="83" t="s">
        <v>401</v>
      </c>
      <c r="B730" s="213" t="s">
        <v>473</v>
      </c>
      <c r="C730" s="213" t="s">
        <v>474</v>
      </c>
      <c r="D730" s="83">
        <v>268</v>
      </c>
      <c r="E730" s="280">
        <v>3860641</v>
      </c>
      <c r="F730" s="280">
        <v>3406080</v>
      </c>
      <c r="G730" s="191" t="s">
        <v>140</v>
      </c>
      <c r="H730" s="292">
        <v>454561</v>
      </c>
      <c r="I730" s="292">
        <v>0</v>
      </c>
      <c r="J730" s="292">
        <v>0</v>
      </c>
      <c r="K730" s="292">
        <v>0</v>
      </c>
      <c r="L730" s="292">
        <v>454561</v>
      </c>
    </row>
    <row r="731" spans="1:12" x14ac:dyDescent="0.25">
      <c r="A731" s="83" t="s">
        <v>401</v>
      </c>
      <c r="B731" s="213" t="s">
        <v>80</v>
      </c>
      <c r="C731" s="213" t="s">
        <v>21</v>
      </c>
      <c r="D731" s="83">
        <v>32</v>
      </c>
      <c r="E731" s="280">
        <v>3750504</v>
      </c>
      <c r="F731" s="280">
        <v>3750504</v>
      </c>
      <c r="G731" s="191" t="s">
        <v>140</v>
      </c>
      <c r="H731" s="292">
        <v>0</v>
      </c>
      <c r="I731" s="292">
        <v>7395</v>
      </c>
      <c r="J731" s="292">
        <v>5028</v>
      </c>
      <c r="K731" s="292">
        <v>2367</v>
      </c>
      <c r="L731" s="292">
        <v>-2367</v>
      </c>
    </row>
    <row r="732" spans="1:12" x14ac:dyDescent="0.25">
      <c r="A732" s="83" t="s">
        <v>401</v>
      </c>
      <c r="B732" s="213" t="s">
        <v>491</v>
      </c>
      <c r="C732" s="213" t="s">
        <v>19</v>
      </c>
      <c r="D732" s="83">
        <v>230</v>
      </c>
      <c r="E732" s="280">
        <v>4852850</v>
      </c>
      <c r="F732" s="280">
        <v>4852850</v>
      </c>
      <c r="G732" s="191" t="s">
        <v>140</v>
      </c>
      <c r="H732" s="292">
        <v>0</v>
      </c>
      <c r="I732" s="292">
        <v>4855</v>
      </c>
      <c r="J732" s="292">
        <v>3446</v>
      </c>
      <c r="K732" s="292">
        <v>1409</v>
      </c>
      <c r="L732" s="292">
        <v>-1409</v>
      </c>
    </row>
    <row r="733" spans="1:12" x14ac:dyDescent="0.25">
      <c r="A733" s="83" t="s">
        <v>401</v>
      </c>
      <c r="B733" s="213" t="s">
        <v>338</v>
      </c>
      <c r="C733" s="213" t="s">
        <v>339</v>
      </c>
      <c r="D733" s="83">
        <v>42</v>
      </c>
      <c r="E733" s="280">
        <v>16145396</v>
      </c>
      <c r="F733" s="280">
        <v>16145396</v>
      </c>
      <c r="G733" s="191" t="s">
        <v>140</v>
      </c>
      <c r="H733" s="292">
        <v>0</v>
      </c>
      <c r="I733" s="292">
        <v>182770</v>
      </c>
      <c r="J733" s="292">
        <v>2252</v>
      </c>
      <c r="K733" s="292">
        <v>180518</v>
      </c>
      <c r="L733" s="292">
        <v>-180518</v>
      </c>
    </row>
    <row r="734" spans="1:12" ht="45.75" x14ac:dyDescent="0.25">
      <c r="A734" s="83" t="s">
        <v>401</v>
      </c>
      <c r="B734" s="213" t="s">
        <v>514</v>
      </c>
      <c r="C734" s="213" t="s">
        <v>515</v>
      </c>
      <c r="D734" s="83">
        <v>265</v>
      </c>
      <c r="E734" s="280">
        <v>2009884</v>
      </c>
      <c r="F734" s="280">
        <v>1993510</v>
      </c>
      <c r="G734" s="191" t="s">
        <v>140</v>
      </c>
      <c r="H734" s="292">
        <v>16374</v>
      </c>
      <c r="I734" s="292">
        <v>0</v>
      </c>
      <c r="J734" s="292">
        <v>0</v>
      </c>
      <c r="K734" s="292">
        <v>0</v>
      </c>
      <c r="L734" s="292">
        <v>16374</v>
      </c>
    </row>
    <row r="735" spans="1:12" x14ac:dyDescent="0.25">
      <c r="A735" s="83" t="s">
        <v>401</v>
      </c>
      <c r="B735" s="213" t="s">
        <v>83</v>
      </c>
      <c r="C735" s="213" t="s">
        <v>17</v>
      </c>
      <c r="D735" s="83">
        <v>48</v>
      </c>
      <c r="E735" s="280">
        <v>9725477</v>
      </c>
      <c r="F735" s="280">
        <v>9725477</v>
      </c>
      <c r="G735" s="191" t="s">
        <v>140</v>
      </c>
      <c r="H735" s="292">
        <v>0</v>
      </c>
      <c r="I735" s="292">
        <v>253984</v>
      </c>
      <c r="J735" s="292">
        <v>193565</v>
      </c>
      <c r="K735" s="292">
        <v>60419</v>
      </c>
      <c r="L735" s="292">
        <v>-60419</v>
      </c>
    </row>
    <row r="736" spans="1:12" ht="30.75" x14ac:dyDescent="0.25">
      <c r="A736" s="83" t="s">
        <v>401</v>
      </c>
      <c r="B736" s="213" t="s">
        <v>519</v>
      </c>
      <c r="C736" s="213" t="s">
        <v>449</v>
      </c>
      <c r="D736" s="83">
        <v>150</v>
      </c>
      <c r="E736" s="280">
        <v>5227141</v>
      </c>
      <c r="F736" s="280">
        <v>5227141</v>
      </c>
      <c r="G736" s="191" t="s">
        <v>140</v>
      </c>
      <c r="H736" s="292">
        <v>0</v>
      </c>
      <c r="I736" s="292">
        <v>1755</v>
      </c>
      <c r="J736" s="292">
        <v>0</v>
      </c>
      <c r="K736" s="292">
        <v>1755</v>
      </c>
      <c r="L736" s="292">
        <v>-1755</v>
      </c>
    </row>
    <row r="737" spans="1:12" x14ac:dyDescent="0.25">
      <c r="A737" s="83" t="s">
        <v>401</v>
      </c>
      <c r="B737" s="213" t="s">
        <v>326</v>
      </c>
      <c r="C737" s="213" t="s">
        <v>327</v>
      </c>
      <c r="D737" s="83">
        <v>218</v>
      </c>
      <c r="E737" s="280">
        <v>5581677</v>
      </c>
      <c r="F737" s="280">
        <v>5355504</v>
      </c>
      <c r="G737" s="191" t="s">
        <v>140</v>
      </c>
      <c r="H737" s="292">
        <v>226173</v>
      </c>
      <c r="I737" s="292">
        <v>0</v>
      </c>
      <c r="J737" s="292">
        <v>0</v>
      </c>
      <c r="K737" s="292">
        <v>0</v>
      </c>
      <c r="L737" s="292">
        <v>226173</v>
      </c>
    </row>
    <row r="738" spans="1:12" x14ac:dyDescent="0.25">
      <c r="A738" s="83" t="s">
        <v>401</v>
      </c>
      <c r="B738" s="213" t="s">
        <v>459</v>
      </c>
      <c r="C738" s="213" t="s">
        <v>460</v>
      </c>
      <c r="D738" s="83">
        <v>173</v>
      </c>
      <c r="E738" s="280">
        <v>1645083</v>
      </c>
      <c r="F738" s="280">
        <v>1645083</v>
      </c>
      <c r="G738" s="191" t="s">
        <v>140</v>
      </c>
      <c r="H738" s="292">
        <v>0</v>
      </c>
      <c r="I738" s="292">
        <v>16194</v>
      </c>
      <c r="J738" s="292">
        <v>2044</v>
      </c>
      <c r="K738" s="292">
        <v>14150</v>
      </c>
      <c r="L738" s="292">
        <v>-14150</v>
      </c>
    </row>
    <row r="739" spans="1:12" x14ac:dyDescent="0.25">
      <c r="A739" s="83" t="s">
        <v>401</v>
      </c>
      <c r="B739" s="213" t="s">
        <v>493</v>
      </c>
      <c r="C739" s="213" t="s">
        <v>494</v>
      </c>
      <c r="D739" s="83">
        <v>335</v>
      </c>
      <c r="E739" s="280">
        <v>34552</v>
      </c>
      <c r="F739" s="280">
        <v>32163</v>
      </c>
      <c r="G739" s="191" t="s">
        <v>140</v>
      </c>
      <c r="H739" s="292">
        <v>2389</v>
      </c>
      <c r="I739" s="292">
        <v>0</v>
      </c>
      <c r="J739" s="292">
        <v>0</v>
      </c>
      <c r="K739" s="292">
        <v>0</v>
      </c>
      <c r="L739" s="292">
        <v>2389</v>
      </c>
    </row>
    <row r="740" spans="1:12" x14ac:dyDescent="0.25">
      <c r="A740" s="83" t="s">
        <v>401</v>
      </c>
      <c r="B740" s="213" t="s">
        <v>528</v>
      </c>
      <c r="C740" s="213" t="s">
        <v>529</v>
      </c>
      <c r="D740" s="83">
        <v>151</v>
      </c>
      <c r="E740" s="280">
        <v>284214</v>
      </c>
      <c r="F740" s="280">
        <v>284214</v>
      </c>
      <c r="G740" s="191" t="s">
        <v>140</v>
      </c>
      <c r="H740" s="292">
        <v>0</v>
      </c>
      <c r="I740" s="292">
        <v>21795</v>
      </c>
      <c r="J740" s="292">
        <v>0</v>
      </c>
      <c r="K740" s="292">
        <v>21795</v>
      </c>
      <c r="L740" s="292">
        <v>-21795</v>
      </c>
    </row>
    <row r="741" spans="1:12" x14ac:dyDescent="0.25">
      <c r="A741" s="83" t="s">
        <v>401</v>
      </c>
      <c r="B741" s="213" t="s">
        <v>537</v>
      </c>
      <c r="C741" s="213" t="s">
        <v>538</v>
      </c>
      <c r="D741" s="83">
        <v>165</v>
      </c>
      <c r="E741" s="280">
        <v>2729603</v>
      </c>
      <c r="F741" s="280">
        <v>2729603</v>
      </c>
      <c r="G741" s="191" t="s">
        <v>140</v>
      </c>
      <c r="H741" s="292">
        <v>0</v>
      </c>
      <c r="I741" s="292">
        <v>3259</v>
      </c>
      <c r="J741" s="292">
        <v>0</v>
      </c>
      <c r="K741" s="292">
        <v>3259</v>
      </c>
      <c r="L741" s="292">
        <v>-3259</v>
      </c>
    </row>
    <row r="742" spans="1:12" ht="45" customHeight="1" x14ac:dyDescent="0.25">
      <c r="A742" s="83" t="s">
        <v>401</v>
      </c>
      <c r="B742" s="213" t="s">
        <v>530</v>
      </c>
      <c r="C742" s="213" t="s">
        <v>11</v>
      </c>
      <c r="D742" s="83">
        <v>271</v>
      </c>
      <c r="E742" s="280">
        <v>3862106</v>
      </c>
      <c r="F742" s="280">
        <v>3774564</v>
      </c>
      <c r="G742" s="191" t="s">
        <v>140</v>
      </c>
      <c r="H742" s="292">
        <v>87542</v>
      </c>
      <c r="I742" s="292">
        <v>0</v>
      </c>
      <c r="J742" s="292">
        <v>0</v>
      </c>
      <c r="K742" s="292">
        <v>0</v>
      </c>
      <c r="L742" s="292">
        <v>87542</v>
      </c>
    </row>
    <row r="743" spans="1:12" ht="45.75" x14ac:dyDescent="0.25">
      <c r="A743" s="83" t="s">
        <v>401</v>
      </c>
      <c r="B743" s="213" t="s">
        <v>498</v>
      </c>
      <c r="C743" s="213" t="s">
        <v>499</v>
      </c>
      <c r="D743" s="83">
        <v>329</v>
      </c>
      <c r="E743" s="280">
        <v>797628</v>
      </c>
      <c r="F743" s="280">
        <v>728354</v>
      </c>
      <c r="G743" s="191" t="s">
        <v>140</v>
      </c>
      <c r="H743" s="292">
        <v>69274</v>
      </c>
      <c r="I743" s="292">
        <v>0</v>
      </c>
      <c r="J743" s="292">
        <v>0</v>
      </c>
      <c r="K743" s="292">
        <v>0</v>
      </c>
      <c r="L743" s="292">
        <v>69274</v>
      </c>
    </row>
    <row r="744" spans="1:12" x14ac:dyDescent="0.25">
      <c r="A744" s="83" t="s">
        <v>401</v>
      </c>
      <c r="B744" s="213" t="s">
        <v>539</v>
      </c>
      <c r="C744" s="213" t="s">
        <v>467</v>
      </c>
      <c r="D744" s="83">
        <v>139</v>
      </c>
      <c r="E744" s="280">
        <v>357362</v>
      </c>
      <c r="F744" s="280">
        <v>357362</v>
      </c>
      <c r="G744" s="191" t="s">
        <v>140</v>
      </c>
      <c r="H744" s="292">
        <v>0</v>
      </c>
      <c r="I744" s="292">
        <v>160350</v>
      </c>
      <c r="J744" s="292">
        <v>1165</v>
      </c>
      <c r="K744" s="292">
        <v>159185</v>
      </c>
      <c r="L744" s="292">
        <v>-159185</v>
      </c>
    </row>
    <row r="745" spans="1:12" x14ac:dyDescent="0.25">
      <c r="A745" s="83" t="s">
        <v>401</v>
      </c>
      <c r="B745" s="213" t="s">
        <v>461</v>
      </c>
      <c r="C745" s="213" t="s">
        <v>25</v>
      </c>
      <c r="D745" s="83">
        <v>244</v>
      </c>
      <c r="E745" s="280">
        <v>2403492</v>
      </c>
      <c r="F745" s="280">
        <v>2403492</v>
      </c>
      <c r="G745" s="191" t="s">
        <v>140</v>
      </c>
      <c r="H745" s="292">
        <v>0</v>
      </c>
      <c r="I745" s="292">
        <v>141792</v>
      </c>
      <c r="J745" s="292">
        <v>135246</v>
      </c>
      <c r="K745" s="292">
        <v>6546</v>
      </c>
      <c r="L745" s="292">
        <v>-6546</v>
      </c>
    </row>
    <row r="746" spans="1:12" x14ac:dyDescent="0.25">
      <c r="A746" s="83" t="s">
        <v>401</v>
      </c>
      <c r="B746" s="213" t="s">
        <v>477</v>
      </c>
      <c r="C746" s="213" t="s">
        <v>17</v>
      </c>
      <c r="D746" s="83">
        <v>280</v>
      </c>
      <c r="E746" s="280">
        <v>6645</v>
      </c>
      <c r="F746" s="280">
        <v>5582</v>
      </c>
      <c r="G746" s="191" t="s">
        <v>140</v>
      </c>
      <c r="H746" s="292">
        <v>1063</v>
      </c>
      <c r="I746" s="292">
        <v>0</v>
      </c>
      <c r="J746" s="292">
        <v>0</v>
      </c>
      <c r="K746" s="292">
        <v>0</v>
      </c>
      <c r="L746" s="292">
        <v>1063</v>
      </c>
    </row>
    <row r="747" spans="1:12" ht="30.75" x14ac:dyDescent="0.25">
      <c r="A747" s="83" t="s">
        <v>401</v>
      </c>
      <c r="B747" s="213" t="s">
        <v>500</v>
      </c>
      <c r="C747" s="213" t="s">
        <v>11</v>
      </c>
      <c r="D747" s="83">
        <v>176</v>
      </c>
      <c r="E747" s="280">
        <v>2348778</v>
      </c>
      <c r="F747" s="280">
        <v>2348778</v>
      </c>
      <c r="G747" s="191" t="s">
        <v>140</v>
      </c>
      <c r="H747" s="292">
        <v>0</v>
      </c>
      <c r="I747" s="292">
        <v>14847</v>
      </c>
      <c r="J747" s="292">
        <v>6905</v>
      </c>
      <c r="K747" s="292">
        <v>7942</v>
      </c>
      <c r="L747" s="292">
        <v>-7942</v>
      </c>
    </row>
    <row r="748" spans="1:12" ht="15.75" customHeight="1" x14ac:dyDescent="0.25">
      <c r="A748" s="83" t="s">
        <v>401</v>
      </c>
      <c r="B748" s="213" t="s">
        <v>507</v>
      </c>
      <c r="C748" s="213" t="s">
        <v>508</v>
      </c>
      <c r="D748" s="83">
        <v>57</v>
      </c>
      <c r="E748" s="280">
        <v>1056561</v>
      </c>
      <c r="F748" s="280">
        <v>1000245</v>
      </c>
      <c r="G748" s="191" t="s">
        <v>140</v>
      </c>
      <c r="H748" s="292">
        <v>56316</v>
      </c>
      <c r="I748" s="292">
        <v>0</v>
      </c>
      <c r="J748" s="292">
        <v>0</v>
      </c>
      <c r="K748" s="292">
        <v>0</v>
      </c>
      <c r="L748" s="292">
        <v>56316</v>
      </c>
    </row>
    <row r="749" spans="1:12" ht="15.75" customHeight="1" x14ac:dyDescent="0.25">
      <c r="A749" s="83" t="s">
        <v>401</v>
      </c>
      <c r="B749" s="213" t="s">
        <v>85</v>
      </c>
      <c r="C749" s="213" t="s">
        <v>26</v>
      </c>
      <c r="D749" s="83">
        <v>171</v>
      </c>
      <c r="E749" s="280">
        <v>3389554</v>
      </c>
      <c r="F749" s="280">
        <v>3389554</v>
      </c>
      <c r="G749" s="191" t="s">
        <v>140</v>
      </c>
      <c r="H749" s="292">
        <v>0</v>
      </c>
      <c r="I749" s="292">
        <v>93191</v>
      </c>
      <c r="J749" s="292">
        <v>1158</v>
      </c>
      <c r="K749" s="292">
        <v>92033</v>
      </c>
      <c r="L749" s="292">
        <v>-92033</v>
      </c>
    </row>
    <row r="750" spans="1:12" ht="30.75" x14ac:dyDescent="0.25">
      <c r="A750" s="83" t="s">
        <v>401</v>
      </c>
      <c r="B750" s="213" t="s">
        <v>540</v>
      </c>
      <c r="C750" s="213" t="s">
        <v>25</v>
      </c>
      <c r="D750" s="83">
        <v>211</v>
      </c>
      <c r="E750" s="280">
        <v>2257308</v>
      </c>
      <c r="F750" s="280">
        <v>2257308</v>
      </c>
      <c r="G750" s="191" t="s">
        <v>140</v>
      </c>
      <c r="H750" s="292">
        <v>0</v>
      </c>
      <c r="I750" s="292">
        <v>23731</v>
      </c>
      <c r="J750" s="292">
        <v>2908</v>
      </c>
      <c r="K750" s="292">
        <v>20823</v>
      </c>
      <c r="L750" s="292">
        <v>-20823</v>
      </c>
    </row>
    <row r="751" spans="1:12" x14ac:dyDescent="0.25">
      <c r="A751" s="83" t="s">
        <v>401</v>
      </c>
      <c r="B751" s="213" t="s">
        <v>509</v>
      </c>
      <c r="C751" s="213" t="s">
        <v>510</v>
      </c>
      <c r="D751" s="83">
        <v>58</v>
      </c>
      <c r="E751" s="280">
        <v>2736820</v>
      </c>
      <c r="F751" s="280">
        <v>2736820</v>
      </c>
      <c r="G751" s="191" t="s">
        <v>140</v>
      </c>
      <c r="H751" s="292">
        <v>0</v>
      </c>
      <c r="I751" s="292">
        <v>6670</v>
      </c>
      <c r="J751" s="292">
        <v>5607</v>
      </c>
      <c r="K751" s="292">
        <v>1063</v>
      </c>
      <c r="L751" s="292">
        <v>-1063</v>
      </c>
    </row>
    <row r="752" spans="1:12" x14ac:dyDescent="0.25">
      <c r="A752" s="83" t="s">
        <v>401</v>
      </c>
      <c r="B752" s="213" t="s">
        <v>480</v>
      </c>
      <c r="C752" s="213" t="s">
        <v>481</v>
      </c>
      <c r="D752" s="83">
        <v>308</v>
      </c>
      <c r="E752" s="280">
        <v>75037</v>
      </c>
      <c r="F752" s="280">
        <v>67868</v>
      </c>
      <c r="G752" s="191" t="s">
        <v>140</v>
      </c>
      <c r="H752" s="292">
        <v>7169</v>
      </c>
      <c r="I752" s="292">
        <v>0</v>
      </c>
      <c r="J752" s="292">
        <v>0</v>
      </c>
      <c r="K752" s="292">
        <v>0</v>
      </c>
      <c r="L752" s="292">
        <v>7169</v>
      </c>
    </row>
    <row r="753" spans="1:12" x14ac:dyDescent="0.25">
      <c r="A753" s="83" t="s">
        <v>401</v>
      </c>
      <c r="B753" s="213" t="s">
        <v>87</v>
      </c>
      <c r="C753" s="213" t="s">
        <v>17</v>
      </c>
      <c r="D753" s="83">
        <v>260</v>
      </c>
      <c r="E753" s="280">
        <v>16948232</v>
      </c>
      <c r="F753" s="280">
        <v>16421195</v>
      </c>
      <c r="G753" s="191" t="s">
        <v>140</v>
      </c>
      <c r="H753" s="292">
        <v>527037</v>
      </c>
      <c r="I753" s="292">
        <v>857594</v>
      </c>
      <c r="J753" s="292">
        <v>857594</v>
      </c>
      <c r="K753" s="292">
        <v>0</v>
      </c>
      <c r="L753" s="292">
        <v>527037</v>
      </c>
    </row>
    <row r="754" spans="1:12" ht="15.75" customHeight="1" x14ac:dyDescent="0.25">
      <c r="A754" s="199" t="s">
        <v>402</v>
      </c>
      <c r="B754" s="214" t="s">
        <v>140</v>
      </c>
      <c r="C754" s="214" t="s">
        <v>140</v>
      </c>
      <c r="D754" s="214" t="s">
        <v>140</v>
      </c>
      <c r="E754" s="293">
        <f>SUBTOTAL(109,school200405[Program
Costs])</f>
        <v>370755137</v>
      </c>
      <c r="F754" s="293">
        <f>SUBTOTAL(109,school200405[Less: Net Payments and Offsets2])</f>
        <v>346625327</v>
      </c>
      <c r="G754" s="214" t="s">
        <v>140</v>
      </c>
      <c r="H754" s="293">
        <f>SUBTOTAL(109,school200405[Accounts Payable
Balance])</f>
        <v>24129810</v>
      </c>
      <c r="I754" s="293">
        <f>SUBTOTAL(109,school200405[Established
Accounts Receivable])</f>
        <v>6102299</v>
      </c>
      <c r="J754" s="293">
        <f>SUBTOTAL(109,school200405[Less: Recovered Amount])</f>
        <v>3709101</v>
      </c>
      <c r="K754" s="293">
        <f>SUBTOTAL(109,school200405[Accounts Receivable
Balance])</f>
        <v>2393198</v>
      </c>
      <c r="L754" s="293">
        <f>SUBTOTAL(109,school200405[Net
Balance])</f>
        <v>21736612</v>
      </c>
    </row>
    <row r="755" spans="1:12" x14ac:dyDescent="0.25">
      <c r="A755" s="195" t="s">
        <v>141</v>
      </c>
      <c r="B755" s="142"/>
      <c r="C755" s="142"/>
      <c r="D755" s="142"/>
      <c r="E755" s="26"/>
      <c r="F755" s="26"/>
      <c r="G755" s="196"/>
      <c r="H755" s="26"/>
      <c r="I755" s="26"/>
      <c r="J755" s="26"/>
      <c r="K755" s="26"/>
      <c r="L755" s="26"/>
    </row>
    <row r="756" spans="1:12" ht="50.1" customHeight="1" x14ac:dyDescent="0.25">
      <c r="A756" s="10" t="s">
        <v>5</v>
      </c>
      <c r="B756" s="10" t="s">
        <v>6</v>
      </c>
      <c r="C756" s="10" t="s">
        <v>0</v>
      </c>
      <c r="D756" s="10" t="s">
        <v>441</v>
      </c>
      <c r="E756" s="215" t="s">
        <v>234</v>
      </c>
      <c r="F756" s="216" t="s">
        <v>452</v>
      </c>
      <c r="G756" s="217" t="s">
        <v>142</v>
      </c>
      <c r="H756" s="215" t="s">
        <v>444</v>
      </c>
      <c r="I756" s="215" t="s">
        <v>445</v>
      </c>
      <c r="J756" s="215" t="s">
        <v>446</v>
      </c>
      <c r="K756" s="215" t="s">
        <v>447</v>
      </c>
      <c r="L756" s="215" t="s">
        <v>305</v>
      </c>
    </row>
    <row r="757" spans="1:12" ht="30.75" x14ac:dyDescent="0.25">
      <c r="A757" s="83" t="s">
        <v>403</v>
      </c>
      <c r="B757" s="213" t="s">
        <v>495</v>
      </c>
      <c r="C757" s="213" t="s">
        <v>490</v>
      </c>
      <c r="D757" s="83">
        <v>348</v>
      </c>
      <c r="E757" s="280">
        <v>43152140</v>
      </c>
      <c r="F757" s="280">
        <v>38771342</v>
      </c>
      <c r="G757" s="191" t="s">
        <v>140</v>
      </c>
      <c r="H757" s="292">
        <v>4380798</v>
      </c>
      <c r="I757" s="292">
        <v>0</v>
      </c>
      <c r="J757" s="292">
        <v>0</v>
      </c>
      <c r="K757" s="292">
        <v>0</v>
      </c>
      <c r="L757" s="292">
        <v>4380798</v>
      </c>
    </row>
    <row r="758" spans="1:12" ht="30.75" x14ac:dyDescent="0.25">
      <c r="A758" s="83" t="s">
        <v>403</v>
      </c>
      <c r="B758" s="213" t="s">
        <v>72</v>
      </c>
      <c r="C758" s="213" t="s">
        <v>13</v>
      </c>
      <c r="D758" s="83">
        <v>11</v>
      </c>
      <c r="E758" s="280">
        <v>28107019</v>
      </c>
      <c r="F758" s="280">
        <v>28107019</v>
      </c>
      <c r="G758" s="191" t="s">
        <v>140</v>
      </c>
      <c r="H758" s="292">
        <v>0</v>
      </c>
      <c r="I758" s="292">
        <v>517475</v>
      </c>
      <c r="J758" s="292">
        <v>433247</v>
      </c>
      <c r="K758" s="292">
        <v>84228</v>
      </c>
      <c r="L758" s="292">
        <v>-84228</v>
      </c>
    </row>
    <row r="759" spans="1:12" ht="45.75" x14ac:dyDescent="0.25">
      <c r="A759" s="83" t="s">
        <v>403</v>
      </c>
      <c r="B759" s="213" t="s">
        <v>516</v>
      </c>
      <c r="C759" s="213" t="s">
        <v>517</v>
      </c>
      <c r="D759" s="83">
        <v>291</v>
      </c>
      <c r="E759" s="280">
        <v>176468</v>
      </c>
      <c r="F759" s="280">
        <v>170016</v>
      </c>
      <c r="G759" s="191" t="s">
        <v>140</v>
      </c>
      <c r="H759" s="292">
        <v>6452</v>
      </c>
      <c r="I759" s="292">
        <v>0</v>
      </c>
      <c r="J759" s="292">
        <v>0</v>
      </c>
      <c r="K759" s="292">
        <v>0</v>
      </c>
      <c r="L759" s="292">
        <v>6452</v>
      </c>
    </row>
    <row r="760" spans="1:12" ht="30.75" x14ac:dyDescent="0.25">
      <c r="A760" s="83" t="s">
        <v>403</v>
      </c>
      <c r="B760" s="213" t="s">
        <v>541</v>
      </c>
      <c r="C760" s="213" t="s">
        <v>17</v>
      </c>
      <c r="D760" s="83">
        <v>295</v>
      </c>
      <c r="E760" s="280">
        <v>169671206</v>
      </c>
      <c r="F760" s="280">
        <v>160619456</v>
      </c>
      <c r="G760" s="191" t="s">
        <v>140</v>
      </c>
      <c r="H760" s="292">
        <v>9051750</v>
      </c>
      <c r="I760" s="292">
        <v>0</v>
      </c>
      <c r="J760" s="292">
        <v>0</v>
      </c>
      <c r="K760" s="292">
        <v>0</v>
      </c>
      <c r="L760" s="292">
        <v>9051750</v>
      </c>
    </row>
    <row r="761" spans="1:12" x14ac:dyDescent="0.25">
      <c r="A761" s="83" t="s">
        <v>403</v>
      </c>
      <c r="B761" s="213" t="s">
        <v>77</v>
      </c>
      <c r="C761" s="213" t="s">
        <v>18</v>
      </c>
      <c r="D761" s="83">
        <v>166</v>
      </c>
      <c r="E761" s="280">
        <v>8305244</v>
      </c>
      <c r="F761" s="280">
        <v>8305244</v>
      </c>
      <c r="G761" s="191" t="s">
        <v>140</v>
      </c>
      <c r="H761" s="292">
        <v>0</v>
      </c>
      <c r="I761" s="292">
        <v>43849</v>
      </c>
      <c r="J761" s="292">
        <v>12058</v>
      </c>
      <c r="K761" s="292">
        <v>31791</v>
      </c>
      <c r="L761" s="292">
        <v>-31791</v>
      </c>
    </row>
    <row r="762" spans="1:12" x14ac:dyDescent="0.25">
      <c r="A762" s="83" t="s">
        <v>403</v>
      </c>
      <c r="B762" s="213" t="s">
        <v>473</v>
      </c>
      <c r="C762" s="213" t="s">
        <v>474</v>
      </c>
      <c r="D762" s="83">
        <v>268</v>
      </c>
      <c r="E762" s="280">
        <v>3060717</v>
      </c>
      <c r="F762" s="280">
        <v>3007132</v>
      </c>
      <c r="G762" s="191" t="s">
        <v>140</v>
      </c>
      <c r="H762" s="292">
        <v>53585</v>
      </c>
      <c r="I762" s="292">
        <v>0</v>
      </c>
      <c r="J762" s="292">
        <v>0</v>
      </c>
      <c r="K762" s="292">
        <v>0</v>
      </c>
      <c r="L762" s="292">
        <v>53585</v>
      </c>
    </row>
    <row r="763" spans="1:12" x14ac:dyDescent="0.25">
      <c r="A763" s="83" t="s">
        <v>403</v>
      </c>
      <c r="B763" s="213" t="s">
        <v>83</v>
      </c>
      <c r="C763" s="213" t="s">
        <v>17</v>
      </c>
      <c r="D763" s="83">
        <v>48</v>
      </c>
      <c r="E763" s="280">
        <v>8765818</v>
      </c>
      <c r="F763" s="280">
        <v>8765818</v>
      </c>
      <c r="G763" s="191" t="s">
        <v>140</v>
      </c>
      <c r="H763" s="292">
        <v>0</v>
      </c>
      <c r="I763" s="292">
        <v>1253345</v>
      </c>
      <c r="J763" s="292">
        <v>405483</v>
      </c>
      <c r="K763" s="292">
        <v>847862</v>
      </c>
      <c r="L763" s="292">
        <v>-847862</v>
      </c>
    </row>
    <row r="764" spans="1:12" x14ac:dyDescent="0.25">
      <c r="A764" s="83" t="s">
        <v>403</v>
      </c>
      <c r="B764" s="213" t="s">
        <v>326</v>
      </c>
      <c r="C764" s="213" t="s">
        <v>327</v>
      </c>
      <c r="D764" s="83">
        <v>218</v>
      </c>
      <c r="E764" s="280">
        <v>6179610</v>
      </c>
      <c r="F764" s="280">
        <v>6014690</v>
      </c>
      <c r="G764" s="191" t="s">
        <v>140</v>
      </c>
      <c r="H764" s="292">
        <v>164920</v>
      </c>
      <c r="I764" s="292">
        <v>0</v>
      </c>
      <c r="J764" s="292">
        <v>0</v>
      </c>
      <c r="K764" s="292">
        <v>0</v>
      </c>
      <c r="L764" s="292">
        <v>164920</v>
      </c>
    </row>
    <row r="765" spans="1:12" ht="45" customHeight="1" x14ac:dyDescent="0.25">
      <c r="A765" s="83" t="s">
        <v>403</v>
      </c>
      <c r="B765" s="213" t="s">
        <v>530</v>
      </c>
      <c r="C765" s="213" t="s">
        <v>11</v>
      </c>
      <c r="D765" s="83">
        <v>271</v>
      </c>
      <c r="E765" s="280">
        <v>3544682</v>
      </c>
      <c r="F765" s="280">
        <v>3484857</v>
      </c>
      <c r="G765" s="191" t="s">
        <v>140</v>
      </c>
      <c r="H765" s="292">
        <v>59825</v>
      </c>
      <c r="I765" s="292">
        <v>0</v>
      </c>
      <c r="J765" s="292">
        <v>0</v>
      </c>
      <c r="K765" s="292">
        <v>0</v>
      </c>
      <c r="L765" s="292">
        <v>59825</v>
      </c>
    </row>
    <row r="766" spans="1:12" ht="45" customHeight="1" x14ac:dyDescent="0.25">
      <c r="A766" s="83" t="s">
        <v>403</v>
      </c>
      <c r="B766" s="213" t="s">
        <v>498</v>
      </c>
      <c r="C766" s="213" t="s">
        <v>499</v>
      </c>
      <c r="D766" s="83">
        <v>329</v>
      </c>
      <c r="E766" s="280">
        <v>862300</v>
      </c>
      <c r="F766" s="280">
        <v>782015</v>
      </c>
      <c r="G766" s="191" t="s">
        <v>140</v>
      </c>
      <c r="H766" s="292">
        <v>80285</v>
      </c>
      <c r="I766" s="292">
        <v>0</v>
      </c>
      <c r="J766" s="292">
        <v>0</v>
      </c>
      <c r="K766" s="292">
        <v>0</v>
      </c>
      <c r="L766" s="292">
        <v>80285</v>
      </c>
    </row>
    <row r="767" spans="1:12" x14ac:dyDescent="0.25">
      <c r="A767" s="83" t="s">
        <v>403</v>
      </c>
      <c r="B767" s="213" t="s">
        <v>539</v>
      </c>
      <c r="C767" s="213" t="s">
        <v>467</v>
      </c>
      <c r="D767" s="83">
        <v>139</v>
      </c>
      <c r="E767" s="280">
        <v>3233418</v>
      </c>
      <c r="F767" s="280">
        <v>3233418</v>
      </c>
      <c r="G767" s="191" t="s">
        <v>140</v>
      </c>
      <c r="H767" s="292">
        <v>0</v>
      </c>
      <c r="I767" s="292">
        <v>966463</v>
      </c>
      <c r="J767" s="292">
        <v>0</v>
      </c>
      <c r="K767" s="292">
        <v>966463</v>
      </c>
      <c r="L767" s="292">
        <v>-966463</v>
      </c>
    </row>
    <row r="768" spans="1:12" x14ac:dyDescent="0.25">
      <c r="A768" s="83" t="s">
        <v>403</v>
      </c>
      <c r="B768" s="213" t="s">
        <v>477</v>
      </c>
      <c r="C768" s="213" t="s">
        <v>17</v>
      </c>
      <c r="D768" s="83">
        <v>280</v>
      </c>
      <c r="E768" s="280">
        <v>6634</v>
      </c>
      <c r="F768" s="280">
        <v>5624</v>
      </c>
      <c r="G768" s="191" t="s">
        <v>140</v>
      </c>
      <c r="H768" s="292">
        <v>1010</v>
      </c>
      <c r="I768" s="292">
        <v>0</v>
      </c>
      <c r="J768" s="292">
        <v>0</v>
      </c>
      <c r="K768" s="292">
        <v>0</v>
      </c>
      <c r="L768" s="292">
        <v>1010</v>
      </c>
    </row>
    <row r="769" spans="1:12" x14ac:dyDescent="0.25">
      <c r="A769" s="83" t="s">
        <v>403</v>
      </c>
      <c r="B769" s="213" t="s">
        <v>507</v>
      </c>
      <c r="C769" s="213" t="s">
        <v>508</v>
      </c>
      <c r="D769" s="83">
        <v>57</v>
      </c>
      <c r="E769" s="280">
        <v>1112874</v>
      </c>
      <c r="F769" s="280">
        <v>1107374</v>
      </c>
      <c r="G769" s="191" t="s">
        <v>140</v>
      </c>
      <c r="H769" s="292">
        <v>5500</v>
      </c>
      <c r="I769" s="292">
        <v>0</v>
      </c>
      <c r="J769" s="292">
        <v>0</v>
      </c>
      <c r="K769" s="292">
        <v>0</v>
      </c>
      <c r="L769" s="292">
        <v>5500</v>
      </c>
    </row>
    <row r="770" spans="1:12" x14ac:dyDescent="0.25">
      <c r="A770" s="83" t="s">
        <v>403</v>
      </c>
      <c r="B770" s="213" t="s">
        <v>542</v>
      </c>
      <c r="C770" s="213" t="s">
        <v>515</v>
      </c>
      <c r="D770" s="83">
        <v>208</v>
      </c>
      <c r="E770" s="280">
        <v>17151246</v>
      </c>
      <c r="F770" s="280">
        <v>16798479</v>
      </c>
      <c r="G770" s="191" t="s">
        <v>140</v>
      </c>
      <c r="H770" s="292">
        <v>352767</v>
      </c>
      <c r="I770" s="292">
        <v>25091</v>
      </c>
      <c r="J770" s="292">
        <v>25091</v>
      </c>
      <c r="K770" s="292">
        <v>0</v>
      </c>
      <c r="L770" s="292">
        <v>352767</v>
      </c>
    </row>
    <row r="771" spans="1:12" x14ac:dyDescent="0.25">
      <c r="A771" s="83" t="s">
        <v>403</v>
      </c>
      <c r="B771" s="213" t="s">
        <v>480</v>
      </c>
      <c r="C771" s="213" t="s">
        <v>481</v>
      </c>
      <c r="D771" s="83">
        <v>308</v>
      </c>
      <c r="E771" s="280">
        <v>53294</v>
      </c>
      <c r="F771" s="280">
        <v>46597</v>
      </c>
      <c r="G771" s="191" t="s">
        <v>140</v>
      </c>
      <c r="H771" s="292">
        <v>6697</v>
      </c>
      <c r="I771" s="292">
        <v>0</v>
      </c>
      <c r="J771" s="292">
        <v>0</v>
      </c>
      <c r="K771" s="292">
        <v>0</v>
      </c>
      <c r="L771" s="292">
        <v>6697</v>
      </c>
    </row>
    <row r="772" spans="1:12" x14ac:dyDescent="0.25">
      <c r="A772" s="83" t="s">
        <v>403</v>
      </c>
      <c r="B772" s="213" t="s">
        <v>87</v>
      </c>
      <c r="C772" s="213" t="s">
        <v>17</v>
      </c>
      <c r="D772" s="83">
        <v>260</v>
      </c>
      <c r="E772" s="280">
        <v>14398943</v>
      </c>
      <c r="F772" s="280">
        <v>14149465</v>
      </c>
      <c r="G772" s="191" t="s">
        <v>140</v>
      </c>
      <c r="H772" s="292">
        <v>249478</v>
      </c>
      <c r="I772" s="292">
        <v>744918</v>
      </c>
      <c r="J772" s="292">
        <v>744918</v>
      </c>
      <c r="K772" s="292">
        <v>0</v>
      </c>
      <c r="L772" s="292">
        <v>249478</v>
      </c>
    </row>
    <row r="773" spans="1:12" ht="15.75" customHeight="1" x14ac:dyDescent="0.25">
      <c r="A773" s="199" t="s">
        <v>404</v>
      </c>
      <c r="B773" s="214" t="s">
        <v>140</v>
      </c>
      <c r="C773" s="214" t="s">
        <v>140</v>
      </c>
      <c r="D773" s="214" t="s">
        <v>140</v>
      </c>
      <c r="E773" s="293">
        <f>SUBTOTAL(109,school200304[Program
Costs])</f>
        <v>307781613</v>
      </c>
      <c r="F773" s="293">
        <f>SUBTOTAL(109,school200304[Less: Net Payments and Offsets2])</f>
        <v>293368546</v>
      </c>
      <c r="G773" s="214" t="s">
        <v>140</v>
      </c>
      <c r="H773" s="293">
        <f>SUBTOTAL(109,school200304[Accounts Payable
Balance])</f>
        <v>14413067</v>
      </c>
      <c r="I773" s="293">
        <f>SUBTOTAL(109,school200304[Established
Accounts Receivable])</f>
        <v>3551141</v>
      </c>
      <c r="J773" s="293">
        <f>SUBTOTAL(109,school200304[Less: Recovered Amount])</f>
        <v>1620797</v>
      </c>
      <c r="K773" s="293">
        <f>SUBTOTAL(109,school200304[Accounts Receivable
Balance])</f>
        <v>1930344</v>
      </c>
      <c r="L773" s="293">
        <f>SUBTOTAL(109,school200304[Net
Balance])</f>
        <v>12482723</v>
      </c>
    </row>
    <row r="774" spans="1:12" x14ac:dyDescent="0.25">
      <c r="A774" s="195" t="s">
        <v>141</v>
      </c>
      <c r="B774" s="142"/>
      <c r="C774" s="142"/>
      <c r="D774" s="142"/>
      <c r="E774" s="26"/>
      <c r="F774" s="26"/>
      <c r="G774" s="196"/>
      <c r="H774" s="26"/>
      <c r="I774" s="26"/>
      <c r="J774" s="26"/>
      <c r="K774" s="26"/>
      <c r="L774" s="26"/>
    </row>
    <row r="775" spans="1:12" ht="50.1" customHeight="1" x14ac:dyDescent="0.25">
      <c r="A775" s="10" t="s">
        <v>5</v>
      </c>
      <c r="B775" s="10" t="s">
        <v>6</v>
      </c>
      <c r="C775" s="10" t="s">
        <v>0</v>
      </c>
      <c r="D775" s="10" t="s">
        <v>441</v>
      </c>
      <c r="E775" s="215" t="s">
        <v>234</v>
      </c>
      <c r="F775" s="216" t="s">
        <v>452</v>
      </c>
      <c r="G775" s="217" t="s">
        <v>142</v>
      </c>
      <c r="H775" s="215" t="s">
        <v>444</v>
      </c>
      <c r="I775" s="215" t="s">
        <v>445</v>
      </c>
      <c r="J775" s="215" t="s">
        <v>446</v>
      </c>
      <c r="K775" s="215" t="s">
        <v>447</v>
      </c>
      <c r="L775" s="215" t="s">
        <v>305</v>
      </c>
    </row>
    <row r="776" spans="1:12" ht="30.75" x14ac:dyDescent="0.25">
      <c r="A776" s="83" t="s">
        <v>405</v>
      </c>
      <c r="B776" s="213" t="s">
        <v>495</v>
      </c>
      <c r="C776" s="213" t="s">
        <v>490</v>
      </c>
      <c r="D776" s="83">
        <v>348</v>
      </c>
      <c r="E776" s="280">
        <v>41363154</v>
      </c>
      <c r="F776" s="280">
        <v>37738313</v>
      </c>
      <c r="G776" s="191" t="s">
        <v>140</v>
      </c>
      <c r="H776" s="292">
        <v>3624841</v>
      </c>
      <c r="I776" s="292">
        <v>0</v>
      </c>
      <c r="J776" s="292">
        <v>0</v>
      </c>
      <c r="K776" s="292">
        <v>0</v>
      </c>
      <c r="L776" s="292">
        <v>3624841</v>
      </c>
    </row>
    <row r="777" spans="1:12" ht="30.75" x14ac:dyDescent="0.25">
      <c r="A777" s="83" t="s">
        <v>405</v>
      </c>
      <c r="B777" s="213" t="s">
        <v>72</v>
      </c>
      <c r="C777" s="213" t="s">
        <v>13</v>
      </c>
      <c r="D777" s="83">
        <v>11</v>
      </c>
      <c r="E777" s="280">
        <v>30770605</v>
      </c>
      <c r="F777" s="280">
        <v>30770605</v>
      </c>
      <c r="G777" s="191" t="s">
        <v>140</v>
      </c>
      <c r="H777" s="292">
        <v>0</v>
      </c>
      <c r="I777" s="292">
        <v>867444</v>
      </c>
      <c r="J777" s="292">
        <v>826768</v>
      </c>
      <c r="K777" s="292">
        <v>40676</v>
      </c>
      <c r="L777" s="292">
        <v>-40676</v>
      </c>
    </row>
    <row r="778" spans="1:12" ht="30.75" x14ac:dyDescent="0.25">
      <c r="A778" s="83" t="s">
        <v>405</v>
      </c>
      <c r="B778" s="213" t="s">
        <v>541</v>
      </c>
      <c r="C778" s="213" t="s">
        <v>17</v>
      </c>
      <c r="D778" s="83">
        <v>295</v>
      </c>
      <c r="E778" s="280">
        <v>176566893</v>
      </c>
      <c r="F778" s="280">
        <v>172277694</v>
      </c>
      <c r="G778" s="191" t="s">
        <v>140</v>
      </c>
      <c r="H778" s="292">
        <v>4289199</v>
      </c>
      <c r="I778" s="292">
        <v>0</v>
      </c>
      <c r="J778" s="292">
        <v>0</v>
      </c>
      <c r="K778" s="292">
        <v>0</v>
      </c>
      <c r="L778" s="292">
        <v>4289199</v>
      </c>
    </row>
    <row r="779" spans="1:12" x14ac:dyDescent="0.25">
      <c r="A779" s="83" t="s">
        <v>405</v>
      </c>
      <c r="B779" s="213" t="s">
        <v>77</v>
      </c>
      <c r="C779" s="213" t="s">
        <v>18</v>
      </c>
      <c r="D779" s="83">
        <v>166</v>
      </c>
      <c r="E779" s="280">
        <v>7157889</v>
      </c>
      <c r="F779" s="280">
        <v>7157889</v>
      </c>
      <c r="G779" s="191" t="s">
        <v>140</v>
      </c>
      <c r="H779" s="292">
        <v>0</v>
      </c>
      <c r="I779" s="292">
        <v>210086</v>
      </c>
      <c r="J779" s="292">
        <v>139673</v>
      </c>
      <c r="K779" s="292">
        <v>70413</v>
      </c>
      <c r="L779" s="292">
        <v>-70413</v>
      </c>
    </row>
    <row r="780" spans="1:12" x14ac:dyDescent="0.25">
      <c r="A780" s="83" t="s">
        <v>405</v>
      </c>
      <c r="B780" s="213" t="s">
        <v>473</v>
      </c>
      <c r="C780" s="213" t="s">
        <v>474</v>
      </c>
      <c r="D780" s="83">
        <v>268</v>
      </c>
      <c r="E780" s="280">
        <v>2984780</v>
      </c>
      <c r="F780" s="280">
        <v>2976037</v>
      </c>
      <c r="G780" s="191" t="s">
        <v>140</v>
      </c>
      <c r="H780" s="292">
        <v>8743</v>
      </c>
      <c r="I780" s="292">
        <v>0</v>
      </c>
      <c r="J780" s="292">
        <v>0</v>
      </c>
      <c r="K780" s="292">
        <v>0</v>
      </c>
      <c r="L780" s="292">
        <v>8743</v>
      </c>
    </row>
    <row r="781" spans="1:12" x14ac:dyDescent="0.25">
      <c r="A781" s="83" t="s">
        <v>405</v>
      </c>
      <c r="B781" s="213" t="s">
        <v>83</v>
      </c>
      <c r="C781" s="213" t="s">
        <v>17</v>
      </c>
      <c r="D781" s="83">
        <v>48</v>
      </c>
      <c r="E781" s="280">
        <v>7488914</v>
      </c>
      <c r="F781" s="280">
        <v>7488914</v>
      </c>
      <c r="G781" s="191" t="s">
        <v>140</v>
      </c>
      <c r="H781" s="292">
        <v>0</v>
      </c>
      <c r="I781" s="292">
        <v>895210</v>
      </c>
      <c r="J781" s="292">
        <v>357099</v>
      </c>
      <c r="K781" s="292">
        <v>538111</v>
      </c>
      <c r="L781" s="292">
        <v>-538111</v>
      </c>
    </row>
    <row r="782" spans="1:12" x14ac:dyDescent="0.25">
      <c r="A782" s="83" t="s">
        <v>405</v>
      </c>
      <c r="B782" s="213" t="s">
        <v>326</v>
      </c>
      <c r="C782" s="213" t="s">
        <v>327</v>
      </c>
      <c r="D782" s="83">
        <v>218</v>
      </c>
      <c r="E782" s="280">
        <v>7119369</v>
      </c>
      <c r="F782" s="280">
        <v>7041267</v>
      </c>
      <c r="G782" s="191" t="s">
        <v>140</v>
      </c>
      <c r="H782" s="292">
        <v>78102</v>
      </c>
      <c r="I782" s="292">
        <v>0</v>
      </c>
      <c r="J782" s="292">
        <v>0</v>
      </c>
      <c r="K782" s="292">
        <v>0</v>
      </c>
      <c r="L782" s="292">
        <v>78102</v>
      </c>
    </row>
    <row r="783" spans="1:12" ht="45.75" x14ac:dyDescent="0.25">
      <c r="A783" s="83" t="s">
        <v>405</v>
      </c>
      <c r="B783" s="213" t="s">
        <v>530</v>
      </c>
      <c r="C783" s="213" t="s">
        <v>11</v>
      </c>
      <c r="D783" s="83">
        <v>271</v>
      </c>
      <c r="E783" s="280">
        <v>2711305</v>
      </c>
      <c r="F783" s="280">
        <v>2687237</v>
      </c>
      <c r="G783" s="191" t="s">
        <v>140</v>
      </c>
      <c r="H783" s="292">
        <v>24068</v>
      </c>
      <c r="I783" s="292">
        <v>0</v>
      </c>
      <c r="J783" s="292">
        <v>0</v>
      </c>
      <c r="K783" s="292">
        <v>0</v>
      </c>
      <c r="L783" s="292">
        <v>24068</v>
      </c>
    </row>
    <row r="784" spans="1:12" ht="45.75" x14ac:dyDescent="0.25">
      <c r="A784" s="83" t="s">
        <v>405</v>
      </c>
      <c r="B784" s="213" t="s">
        <v>498</v>
      </c>
      <c r="C784" s="213" t="s">
        <v>499</v>
      </c>
      <c r="D784" s="83">
        <v>329</v>
      </c>
      <c r="E784" s="280">
        <v>722675</v>
      </c>
      <c r="F784" s="280">
        <v>710144</v>
      </c>
      <c r="G784" s="191" t="s">
        <v>140</v>
      </c>
      <c r="H784" s="292">
        <v>12531</v>
      </c>
      <c r="I784" s="292">
        <v>0</v>
      </c>
      <c r="J784" s="292">
        <v>0</v>
      </c>
      <c r="K784" s="292">
        <v>0</v>
      </c>
      <c r="L784" s="292">
        <v>12531</v>
      </c>
    </row>
    <row r="785" spans="1:12" x14ac:dyDescent="0.25">
      <c r="A785" s="83" t="s">
        <v>405</v>
      </c>
      <c r="B785" s="213" t="s">
        <v>539</v>
      </c>
      <c r="C785" s="213" t="s">
        <v>467</v>
      </c>
      <c r="D785" s="83">
        <v>139</v>
      </c>
      <c r="E785" s="280">
        <v>3491968</v>
      </c>
      <c r="F785" s="280">
        <v>3491968</v>
      </c>
      <c r="G785" s="191" t="s">
        <v>140</v>
      </c>
      <c r="H785" s="292">
        <v>0</v>
      </c>
      <c r="I785" s="292">
        <v>2397890</v>
      </c>
      <c r="J785" s="292">
        <v>0</v>
      </c>
      <c r="K785" s="292">
        <v>2397890</v>
      </c>
      <c r="L785" s="292">
        <v>-2397890</v>
      </c>
    </row>
    <row r="786" spans="1:12" x14ac:dyDescent="0.25">
      <c r="A786" s="83" t="s">
        <v>405</v>
      </c>
      <c r="B786" s="213" t="s">
        <v>461</v>
      </c>
      <c r="C786" s="213" t="s">
        <v>25</v>
      </c>
      <c r="D786" s="83">
        <v>244</v>
      </c>
      <c r="E786" s="280">
        <v>1943938</v>
      </c>
      <c r="F786" s="280">
        <v>1943938</v>
      </c>
      <c r="G786" s="191" t="s">
        <v>140</v>
      </c>
      <c r="H786" s="292">
        <v>0</v>
      </c>
      <c r="I786" s="292">
        <v>25317281</v>
      </c>
      <c r="J786" s="292">
        <v>2721523</v>
      </c>
      <c r="K786" s="292">
        <v>22595758</v>
      </c>
      <c r="L786" s="292">
        <v>-22595758</v>
      </c>
    </row>
    <row r="787" spans="1:12" x14ac:dyDescent="0.25">
      <c r="A787" s="83" t="s">
        <v>405</v>
      </c>
      <c r="B787" s="213" t="s">
        <v>507</v>
      </c>
      <c r="C787" s="213" t="s">
        <v>508</v>
      </c>
      <c r="D787" s="83">
        <v>57</v>
      </c>
      <c r="E787" s="280">
        <v>1434260</v>
      </c>
      <c r="F787" s="280">
        <v>1415123</v>
      </c>
      <c r="G787" s="191" t="s">
        <v>140</v>
      </c>
      <c r="H787" s="292">
        <v>19137</v>
      </c>
      <c r="I787" s="292">
        <v>0</v>
      </c>
      <c r="J787" s="292">
        <v>0</v>
      </c>
      <c r="K787" s="292">
        <v>0</v>
      </c>
      <c r="L787" s="292">
        <v>19137</v>
      </c>
    </row>
    <row r="788" spans="1:12" ht="15" customHeight="1" x14ac:dyDescent="0.25">
      <c r="A788" s="83" t="s">
        <v>405</v>
      </c>
      <c r="B788" s="213" t="s">
        <v>542</v>
      </c>
      <c r="C788" s="213" t="s">
        <v>515</v>
      </c>
      <c r="D788" s="83">
        <v>208</v>
      </c>
      <c r="E788" s="280">
        <v>23725715</v>
      </c>
      <c r="F788" s="280">
        <v>23579326</v>
      </c>
      <c r="G788" s="191" t="s">
        <v>140</v>
      </c>
      <c r="H788" s="292">
        <v>146389</v>
      </c>
      <c r="I788" s="292">
        <v>183082</v>
      </c>
      <c r="J788" s="292">
        <v>183082</v>
      </c>
      <c r="K788" s="292">
        <v>0</v>
      </c>
      <c r="L788" s="292">
        <v>146389</v>
      </c>
    </row>
    <row r="789" spans="1:12" x14ac:dyDescent="0.25">
      <c r="A789" s="83" t="s">
        <v>405</v>
      </c>
      <c r="B789" s="213" t="s">
        <v>87</v>
      </c>
      <c r="C789" s="213" t="s">
        <v>17</v>
      </c>
      <c r="D789" s="83">
        <v>260</v>
      </c>
      <c r="E789" s="280">
        <v>13819545</v>
      </c>
      <c r="F789" s="280">
        <v>13759745</v>
      </c>
      <c r="G789" s="191" t="s">
        <v>140</v>
      </c>
      <c r="H789" s="292">
        <v>59800</v>
      </c>
      <c r="I789" s="292">
        <v>334584</v>
      </c>
      <c r="J789" s="292">
        <v>334584</v>
      </c>
      <c r="K789" s="292">
        <v>0</v>
      </c>
      <c r="L789" s="292">
        <v>59800</v>
      </c>
    </row>
    <row r="790" spans="1:12" ht="15.75" customHeight="1" x14ac:dyDescent="0.25">
      <c r="A790" s="199" t="s">
        <v>406</v>
      </c>
      <c r="B790" s="214" t="s">
        <v>140</v>
      </c>
      <c r="C790" s="214" t="s">
        <v>140</v>
      </c>
      <c r="D790" s="214" t="s">
        <v>140</v>
      </c>
      <c r="E790" s="293">
        <f>SUBTOTAL(109,school200203[Program
Costs])</f>
        <v>321301010</v>
      </c>
      <c r="F790" s="293">
        <f>SUBTOTAL(109,school200203[Less: Net Payments and Offsets2])</f>
        <v>313038200</v>
      </c>
      <c r="G790" s="214" t="s">
        <v>140</v>
      </c>
      <c r="H790" s="293">
        <f>SUBTOTAL(109,school200203[Accounts Payable
Balance])</f>
        <v>8262810</v>
      </c>
      <c r="I790" s="293">
        <f>SUBTOTAL(109,school200203[Established
Accounts Receivable])</f>
        <v>30205577</v>
      </c>
      <c r="J790" s="293">
        <f>SUBTOTAL(109,school200203[Less: Recovered Amount])</f>
        <v>4562729</v>
      </c>
      <c r="K790" s="293">
        <f>SUBTOTAL(109,school200203[Accounts Receivable
Balance])</f>
        <v>25642848</v>
      </c>
      <c r="L790" s="293">
        <f>SUBTOTAL(109,school200203[Net
Balance])</f>
        <v>-17380038</v>
      </c>
    </row>
    <row r="791" spans="1:12" x14ac:dyDescent="0.25">
      <c r="A791" s="195" t="s">
        <v>141</v>
      </c>
      <c r="B791" s="142"/>
      <c r="C791" s="142"/>
      <c r="D791" s="142"/>
      <c r="E791" s="26"/>
      <c r="F791" s="26"/>
      <c r="G791" s="196"/>
      <c r="H791" s="26"/>
      <c r="I791" s="26"/>
      <c r="J791" s="26"/>
      <c r="K791" s="26"/>
      <c r="L791" s="26"/>
    </row>
    <row r="792" spans="1:12" ht="50.1" customHeight="1" x14ac:dyDescent="0.25">
      <c r="A792" s="10" t="s">
        <v>5</v>
      </c>
      <c r="B792" s="10" t="s">
        <v>6</v>
      </c>
      <c r="C792" s="10" t="s">
        <v>0</v>
      </c>
      <c r="D792" s="10" t="s">
        <v>441</v>
      </c>
      <c r="E792" s="215" t="s">
        <v>234</v>
      </c>
      <c r="F792" s="216" t="s">
        <v>452</v>
      </c>
      <c r="G792" s="217" t="s">
        <v>142</v>
      </c>
      <c r="H792" s="215" t="s">
        <v>444</v>
      </c>
      <c r="I792" s="215" t="s">
        <v>445</v>
      </c>
      <c r="J792" s="215" t="s">
        <v>446</v>
      </c>
      <c r="K792" s="215" t="s">
        <v>447</v>
      </c>
      <c r="L792" s="215" t="s">
        <v>305</v>
      </c>
    </row>
    <row r="793" spans="1:12" ht="15" customHeight="1" x14ac:dyDescent="0.25">
      <c r="A793" s="83" t="s">
        <v>407</v>
      </c>
      <c r="B793" s="213" t="s">
        <v>543</v>
      </c>
      <c r="C793" s="213" t="s">
        <v>7</v>
      </c>
      <c r="D793" s="83">
        <v>123</v>
      </c>
      <c r="E793" s="280">
        <v>3563107</v>
      </c>
      <c r="F793" s="280">
        <v>3563107</v>
      </c>
      <c r="G793" s="191" t="s">
        <v>140</v>
      </c>
      <c r="H793" s="292">
        <v>0</v>
      </c>
      <c r="I793" s="292">
        <v>838033</v>
      </c>
      <c r="J793" s="292">
        <v>832320</v>
      </c>
      <c r="K793" s="292">
        <v>5713</v>
      </c>
      <c r="L793" s="292">
        <v>-5713</v>
      </c>
    </row>
    <row r="794" spans="1:12" ht="30.75" customHeight="1" x14ac:dyDescent="0.25">
      <c r="A794" s="83" t="s">
        <v>407</v>
      </c>
      <c r="B794" s="213" t="s">
        <v>495</v>
      </c>
      <c r="C794" s="213" t="s">
        <v>490</v>
      </c>
      <c r="D794" s="83">
        <v>348</v>
      </c>
      <c r="E794" s="280">
        <v>39009871</v>
      </c>
      <c r="F794" s="280">
        <v>35783447</v>
      </c>
      <c r="G794" s="191" t="s">
        <v>140</v>
      </c>
      <c r="H794" s="292">
        <v>3226424</v>
      </c>
      <c r="I794" s="292">
        <v>0</v>
      </c>
      <c r="J794" s="292">
        <v>0</v>
      </c>
      <c r="K794" s="292">
        <v>0</v>
      </c>
      <c r="L794" s="292">
        <v>3226424</v>
      </c>
    </row>
    <row r="795" spans="1:12" ht="15.75" customHeight="1" x14ac:dyDescent="0.25">
      <c r="A795" s="83" t="s">
        <v>407</v>
      </c>
      <c r="B795" s="213" t="s">
        <v>544</v>
      </c>
      <c r="C795" s="213" t="s">
        <v>465</v>
      </c>
      <c r="D795" s="83">
        <v>140</v>
      </c>
      <c r="E795" s="280">
        <v>2457131</v>
      </c>
      <c r="F795" s="280">
        <v>2457131</v>
      </c>
      <c r="G795" s="191" t="s">
        <v>140</v>
      </c>
      <c r="H795" s="292">
        <v>0</v>
      </c>
      <c r="I795" s="292">
        <v>237816</v>
      </c>
      <c r="J795" s="292">
        <v>226307</v>
      </c>
      <c r="K795" s="292">
        <v>11509</v>
      </c>
      <c r="L795" s="292">
        <v>-11509</v>
      </c>
    </row>
    <row r="796" spans="1:12" ht="30.75" x14ac:dyDescent="0.25">
      <c r="A796" s="83" t="s">
        <v>407</v>
      </c>
      <c r="B796" s="213" t="s">
        <v>72</v>
      </c>
      <c r="C796" s="213" t="s">
        <v>13</v>
      </c>
      <c r="D796" s="83">
        <v>11</v>
      </c>
      <c r="E796" s="280">
        <v>34671017</v>
      </c>
      <c r="F796" s="280">
        <v>34671017</v>
      </c>
      <c r="G796" s="191" t="s">
        <v>140</v>
      </c>
      <c r="H796" s="292">
        <v>0</v>
      </c>
      <c r="I796" s="292">
        <v>7346372</v>
      </c>
      <c r="J796" s="292">
        <v>7327621</v>
      </c>
      <c r="K796" s="292">
        <v>18751</v>
      </c>
      <c r="L796" s="292">
        <v>-18751</v>
      </c>
    </row>
    <row r="797" spans="1:12" x14ac:dyDescent="0.25">
      <c r="A797" s="83" t="s">
        <v>407</v>
      </c>
      <c r="B797" s="213" t="s">
        <v>513</v>
      </c>
      <c r="C797" s="213" t="s">
        <v>14</v>
      </c>
      <c r="D797" s="83">
        <v>223</v>
      </c>
      <c r="E797" s="280">
        <v>5548278</v>
      </c>
      <c r="F797" s="280">
        <v>5548278</v>
      </c>
      <c r="G797" s="191" t="s">
        <v>140</v>
      </c>
      <c r="H797" s="292">
        <v>0</v>
      </c>
      <c r="I797" s="292">
        <v>14656</v>
      </c>
      <c r="J797" s="292">
        <v>9604</v>
      </c>
      <c r="K797" s="292">
        <v>5052</v>
      </c>
      <c r="L797" s="292">
        <v>-5052</v>
      </c>
    </row>
    <row r="798" spans="1:12" x14ac:dyDescent="0.25">
      <c r="A798" s="83" t="s">
        <v>407</v>
      </c>
      <c r="B798" s="213" t="s">
        <v>74</v>
      </c>
      <c r="C798" s="213" t="s">
        <v>15</v>
      </c>
      <c r="D798" s="83">
        <v>183</v>
      </c>
      <c r="E798" s="280">
        <v>3258459</v>
      </c>
      <c r="F798" s="280">
        <v>3258459</v>
      </c>
      <c r="G798" s="191" t="s">
        <v>140</v>
      </c>
      <c r="H798" s="292">
        <v>0</v>
      </c>
      <c r="I798" s="292">
        <v>2332978</v>
      </c>
      <c r="J798" s="292">
        <v>2331773</v>
      </c>
      <c r="K798" s="292">
        <v>1205</v>
      </c>
      <c r="L798" s="292">
        <v>-1205</v>
      </c>
    </row>
    <row r="799" spans="1:12" ht="30.75" x14ac:dyDescent="0.25">
      <c r="A799" s="83" t="s">
        <v>407</v>
      </c>
      <c r="B799" s="213" t="s">
        <v>545</v>
      </c>
      <c r="C799" s="213" t="s">
        <v>535</v>
      </c>
      <c r="D799" s="83">
        <v>75</v>
      </c>
      <c r="E799" s="280">
        <v>15879587</v>
      </c>
      <c r="F799" s="280">
        <v>15879587</v>
      </c>
      <c r="G799" s="191" t="s">
        <v>140</v>
      </c>
      <c r="H799" s="292">
        <v>0</v>
      </c>
      <c r="I799" s="292">
        <v>4530020</v>
      </c>
      <c r="J799" s="292">
        <v>4529310</v>
      </c>
      <c r="K799" s="292">
        <v>710</v>
      </c>
      <c r="L799" s="292">
        <v>-710</v>
      </c>
    </row>
    <row r="800" spans="1:12" x14ac:dyDescent="0.25">
      <c r="A800" s="83" t="s">
        <v>407</v>
      </c>
      <c r="B800" s="213" t="s">
        <v>518</v>
      </c>
      <c r="C800" s="213" t="s">
        <v>17</v>
      </c>
      <c r="D800" s="83">
        <v>26</v>
      </c>
      <c r="E800" s="280">
        <v>7958827</v>
      </c>
      <c r="F800" s="280">
        <v>7958827</v>
      </c>
      <c r="G800" s="191" t="s">
        <v>140</v>
      </c>
      <c r="H800" s="292">
        <v>0</v>
      </c>
      <c r="I800" s="292">
        <v>4858960</v>
      </c>
      <c r="J800" s="292">
        <v>4632636</v>
      </c>
      <c r="K800" s="292">
        <v>226324</v>
      </c>
      <c r="L800" s="292">
        <v>-226324</v>
      </c>
    </row>
    <row r="801" spans="1:12" ht="30.75" x14ac:dyDescent="0.25">
      <c r="A801" s="83" t="s">
        <v>407</v>
      </c>
      <c r="B801" s="213" t="s">
        <v>541</v>
      </c>
      <c r="C801" s="213" t="s">
        <v>17</v>
      </c>
      <c r="D801" s="83">
        <v>295</v>
      </c>
      <c r="E801" s="280">
        <v>166695626</v>
      </c>
      <c r="F801" s="280">
        <v>165084881</v>
      </c>
      <c r="G801" s="191" t="s">
        <v>140</v>
      </c>
      <c r="H801" s="292">
        <v>1610745</v>
      </c>
      <c r="I801" s="292">
        <v>0</v>
      </c>
      <c r="J801" s="292">
        <v>0</v>
      </c>
      <c r="K801" s="292">
        <v>0</v>
      </c>
      <c r="L801" s="292">
        <v>1610745</v>
      </c>
    </row>
    <row r="802" spans="1:12" x14ac:dyDescent="0.25">
      <c r="A802" s="83" t="s">
        <v>407</v>
      </c>
      <c r="B802" s="213" t="s">
        <v>77</v>
      </c>
      <c r="C802" s="213" t="s">
        <v>18</v>
      </c>
      <c r="D802" s="83">
        <v>166</v>
      </c>
      <c r="E802" s="280">
        <v>7701749</v>
      </c>
      <c r="F802" s="280">
        <v>7701749</v>
      </c>
      <c r="G802" s="191" t="s">
        <v>140</v>
      </c>
      <c r="H802" s="292">
        <v>0</v>
      </c>
      <c r="I802" s="292">
        <v>2062132</v>
      </c>
      <c r="J802" s="292">
        <v>2062074</v>
      </c>
      <c r="K802" s="292">
        <v>58</v>
      </c>
      <c r="L802" s="292">
        <v>-58</v>
      </c>
    </row>
    <row r="803" spans="1:12" x14ac:dyDescent="0.25">
      <c r="A803" s="83" t="s">
        <v>407</v>
      </c>
      <c r="B803" s="213" t="s">
        <v>473</v>
      </c>
      <c r="C803" s="213" t="s">
        <v>474</v>
      </c>
      <c r="D803" s="83">
        <v>268</v>
      </c>
      <c r="E803" s="280">
        <v>2150476</v>
      </c>
      <c r="F803" s="280">
        <v>2145443</v>
      </c>
      <c r="G803" s="191" t="s">
        <v>140</v>
      </c>
      <c r="H803" s="292">
        <v>5033</v>
      </c>
      <c r="I803" s="292">
        <v>0</v>
      </c>
      <c r="J803" s="292">
        <v>0</v>
      </c>
      <c r="K803" s="292">
        <v>0</v>
      </c>
      <c r="L803" s="292">
        <v>5033</v>
      </c>
    </row>
    <row r="804" spans="1:12" x14ac:dyDescent="0.25">
      <c r="A804" s="83" t="s">
        <v>407</v>
      </c>
      <c r="B804" s="213" t="s">
        <v>475</v>
      </c>
      <c r="C804" s="213" t="s">
        <v>476</v>
      </c>
      <c r="D804" s="83">
        <v>148</v>
      </c>
      <c r="E804" s="280">
        <v>1807989</v>
      </c>
      <c r="F804" s="280">
        <v>1807989</v>
      </c>
      <c r="G804" s="191" t="s">
        <v>140</v>
      </c>
      <c r="H804" s="292">
        <v>0</v>
      </c>
      <c r="I804" s="292">
        <v>767144</v>
      </c>
      <c r="J804" s="292">
        <v>766547</v>
      </c>
      <c r="K804" s="292">
        <v>597</v>
      </c>
      <c r="L804" s="292">
        <v>-597</v>
      </c>
    </row>
    <row r="805" spans="1:12" x14ac:dyDescent="0.25">
      <c r="A805" s="83" t="s">
        <v>407</v>
      </c>
      <c r="B805" s="213" t="s">
        <v>81</v>
      </c>
      <c r="C805" s="213" t="s">
        <v>22</v>
      </c>
      <c r="D805" s="83">
        <v>153</v>
      </c>
      <c r="E805" s="280">
        <v>8287926</v>
      </c>
      <c r="F805" s="280">
        <v>8287926</v>
      </c>
      <c r="G805" s="191" t="s">
        <v>140</v>
      </c>
      <c r="H805" s="292">
        <v>0</v>
      </c>
      <c r="I805" s="292">
        <v>1426115</v>
      </c>
      <c r="J805" s="292">
        <v>1425358</v>
      </c>
      <c r="K805" s="292">
        <v>757</v>
      </c>
      <c r="L805" s="292">
        <v>-757</v>
      </c>
    </row>
    <row r="806" spans="1:12" x14ac:dyDescent="0.25">
      <c r="A806" s="83" t="s">
        <v>407</v>
      </c>
      <c r="B806" s="213" t="s">
        <v>457</v>
      </c>
      <c r="C806" s="213" t="s">
        <v>458</v>
      </c>
      <c r="D806" s="83">
        <v>155</v>
      </c>
      <c r="E806" s="280">
        <v>798088</v>
      </c>
      <c r="F806" s="280">
        <v>798088</v>
      </c>
      <c r="G806" s="191" t="s">
        <v>140</v>
      </c>
      <c r="H806" s="292">
        <v>0</v>
      </c>
      <c r="I806" s="292">
        <v>72371</v>
      </c>
      <c r="J806" s="292">
        <v>72080</v>
      </c>
      <c r="K806" s="292">
        <v>291</v>
      </c>
      <c r="L806" s="292">
        <v>-291</v>
      </c>
    </row>
    <row r="807" spans="1:12" x14ac:dyDescent="0.25">
      <c r="A807" s="83" t="s">
        <v>407</v>
      </c>
      <c r="B807" s="213" t="s">
        <v>525</v>
      </c>
      <c r="C807" s="213" t="s">
        <v>526</v>
      </c>
      <c r="D807" s="83">
        <v>157</v>
      </c>
      <c r="E807" s="280">
        <v>1579905</v>
      </c>
      <c r="F807" s="280">
        <v>1579905</v>
      </c>
      <c r="G807" s="191" t="s">
        <v>140</v>
      </c>
      <c r="H807" s="292">
        <v>0</v>
      </c>
      <c r="I807" s="292">
        <v>818310</v>
      </c>
      <c r="J807" s="292">
        <v>816980</v>
      </c>
      <c r="K807" s="292">
        <v>1330</v>
      </c>
      <c r="L807" s="292">
        <v>-1330</v>
      </c>
    </row>
    <row r="808" spans="1:12" x14ac:dyDescent="0.25">
      <c r="A808" s="83" t="s">
        <v>407</v>
      </c>
      <c r="B808" s="213" t="s">
        <v>338</v>
      </c>
      <c r="C808" s="213" t="s">
        <v>339</v>
      </c>
      <c r="D808" s="83">
        <v>42</v>
      </c>
      <c r="E808" s="280">
        <v>18517280</v>
      </c>
      <c r="F808" s="280">
        <v>18517280</v>
      </c>
      <c r="G808" s="191" t="s">
        <v>140</v>
      </c>
      <c r="H808" s="292">
        <v>0</v>
      </c>
      <c r="I808" s="292">
        <v>290709</v>
      </c>
      <c r="J808" s="292">
        <v>284043</v>
      </c>
      <c r="K808" s="292">
        <v>6666</v>
      </c>
      <c r="L808" s="292">
        <v>-6666</v>
      </c>
    </row>
    <row r="809" spans="1:12" x14ac:dyDescent="0.25">
      <c r="A809" s="83" t="s">
        <v>407</v>
      </c>
      <c r="B809" s="213" t="s">
        <v>546</v>
      </c>
      <c r="C809" s="213" t="s">
        <v>327</v>
      </c>
      <c r="D809" s="83">
        <v>201</v>
      </c>
      <c r="E809" s="280">
        <v>556</v>
      </c>
      <c r="F809" s="280">
        <v>556</v>
      </c>
      <c r="G809" s="191" t="s">
        <v>140</v>
      </c>
      <c r="H809" s="292">
        <v>0</v>
      </c>
      <c r="I809" s="292">
        <v>63727</v>
      </c>
      <c r="J809" s="292">
        <v>62836</v>
      </c>
      <c r="K809" s="292">
        <v>891</v>
      </c>
      <c r="L809" s="292">
        <v>-891</v>
      </c>
    </row>
    <row r="810" spans="1:12" x14ac:dyDescent="0.25">
      <c r="A810" s="83" t="s">
        <v>407</v>
      </c>
      <c r="B810" s="213" t="s">
        <v>326</v>
      </c>
      <c r="C810" s="213" t="s">
        <v>327</v>
      </c>
      <c r="D810" s="83">
        <v>218</v>
      </c>
      <c r="E810" s="280">
        <v>7304994</v>
      </c>
      <c r="F810" s="280">
        <v>7255320</v>
      </c>
      <c r="G810" s="191" t="s">
        <v>140</v>
      </c>
      <c r="H810" s="292">
        <v>49674</v>
      </c>
      <c r="I810" s="292">
        <v>441775</v>
      </c>
      <c r="J810" s="292">
        <v>437972</v>
      </c>
      <c r="K810" s="292">
        <v>3803</v>
      </c>
      <c r="L810" s="292">
        <v>45871</v>
      </c>
    </row>
    <row r="811" spans="1:12" x14ac:dyDescent="0.25">
      <c r="A811" s="83" t="s">
        <v>407</v>
      </c>
      <c r="B811" s="213" t="s">
        <v>459</v>
      </c>
      <c r="C811" s="213" t="s">
        <v>460</v>
      </c>
      <c r="D811" s="83">
        <v>173</v>
      </c>
      <c r="E811" s="280">
        <v>2301476</v>
      </c>
      <c r="F811" s="280">
        <v>2301476</v>
      </c>
      <c r="G811" s="191" t="s">
        <v>140</v>
      </c>
      <c r="H811" s="292">
        <v>0</v>
      </c>
      <c r="I811" s="292">
        <v>299866</v>
      </c>
      <c r="J811" s="292">
        <v>299485</v>
      </c>
      <c r="K811" s="292">
        <v>381</v>
      </c>
      <c r="L811" s="292">
        <v>-381</v>
      </c>
    </row>
    <row r="812" spans="1:12" x14ac:dyDescent="0.25">
      <c r="A812" s="83" t="s">
        <v>407</v>
      </c>
      <c r="B812" s="213" t="s">
        <v>528</v>
      </c>
      <c r="C812" s="213" t="s">
        <v>529</v>
      </c>
      <c r="D812" s="83">
        <v>151</v>
      </c>
      <c r="E812" s="280">
        <v>2589924</v>
      </c>
      <c r="F812" s="280">
        <v>2589924</v>
      </c>
      <c r="G812" s="191" t="s">
        <v>140</v>
      </c>
      <c r="H812" s="292">
        <v>0</v>
      </c>
      <c r="I812" s="292">
        <v>269837</v>
      </c>
      <c r="J812" s="292">
        <v>268611</v>
      </c>
      <c r="K812" s="292">
        <v>1226</v>
      </c>
      <c r="L812" s="292">
        <v>-1226</v>
      </c>
    </row>
    <row r="813" spans="1:12" ht="45.75" x14ac:dyDescent="0.25">
      <c r="A813" s="83" t="s">
        <v>407</v>
      </c>
      <c r="B813" s="213" t="s">
        <v>530</v>
      </c>
      <c r="C813" s="213" t="s">
        <v>11</v>
      </c>
      <c r="D813" s="83">
        <v>271</v>
      </c>
      <c r="E813" s="280">
        <v>2441052</v>
      </c>
      <c r="F813" s="280">
        <v>2438012</v>
      </c>
      <c r="G813" s="191" t="s">
        <v>140</v>
      </c>
      <c r="H813" s="292">
        <v>3040</v>
      </c>
      <c r="I813" s="292">
        <v>0</v>
      </c>
      <c r="J813" s="292">
        <v>0</v>
      </c>
      <c r="K813" s="292">
        <v>0</v>
      </c>
      <c r="L813" s="292">
        <v>3040</v>
      </c>
    </row>
    <row r="814" spans="1:12" ht="45.75" x14ac:dyDescent="0.25">
      <c r="A814" s="83" t="s">
        <v>407</v>
      </c>
      <c r="B814" s="213" t="s">
        <v>498</v>
      </c>
      <c r="C814" s="213" t="s">
        <v>499</v>
      </c>
      <c r="D814" s="83">
        <v>329</v>
      </c>
      <c r="E814" s="280">
        <v>456037</v>
      </c>
      <c r="F814" s="280">
        <v>450655</v>
      </c>
      <c r="G814" s="191" t="s">
        <v>140</v>
      </c>
      <c r="H814" s="292">
        <v>5382</v>
      </c>
      <c r="I814" s="292">
        <v>0</v>
      </c>
      <c r="J814" s="292">
        <v>0</v>
      </c>
      <c r="K814" s="292">
        <v>0</v>
      </c>
      <c r="L814" s="292">
        <v>5382</v>
      </c>
    </row>
    <row r="815" spans="1:12" x14ac:dyDescent="0.25">
      <c r="A815" s="83" t="s">
        <v>407</v>
      </c>
      <c r="B815" s="213" t="s">
        <v>539</v>
      </c>
      <c r="C815" s="213" t="s">
        <v>467</v>
      </c>
      <c r="D815" s="83">
        <v>139</v>
      </c>
      <c r="E815" s="280">
        <v>4917998</v>
      </c>
      <c r="F815" s="280">
        <v>4917998</v>
      </c>
      <c r="G815" s="191" t="s">
        <v>140</v>
      </c>
      <c r="H815" s="292">
        <v>0</v>
      </c>
      <c r="I815" s="292">
        <v>647814</v>
      </c>
      <c r="J815" s="292">
        <v>646501</v>
      </c>
      <c r="K815" s="292">
        <v>1313</v>
      </c>
      <c r="L815" s="292">
        <v>-1313</v>
      </c>
    </row>
    <row r="816" spans="1:12" x14ac:dyDescent="0.25">
      <c r="A816" s="83" t="s">
        <v>407</v>
      </c>
      <c r="B816" s="213" t="s">
        <v>461</v>
      </c>
      <c r="C816" s="213" t="s">
        <v>25</v>
      </c>
      <c r="D816" s="83">
        <v>244</v>
      </c>
      <c r="E816" s="280">
        <v>2162205</v>
      </c>
      <c r="F816" s="280">
        <v>2162205</v>
      </c>
      <c r="G816" s="191" t="s">
        <v>140</v>
      </c>
      <c r="H816" s="292">
        <v>0</v>
      </c>
      <c r="I816" s="292">
        <v>13814130</v>
      </c>
      <c r="J816" s="292">
        <v>654358</v>
      </c>
      <c r="K816" s="292">
        <v>13159772</v>
      </c>
      <c r="L816" s="292">
        <v>-13159772</v>
      </c>
    </row>
    <row r="817" spans="1:12" ht="30.75" x14ac:dyDescent="0.25">
      <c r="A817" s="83" t="s">
        <v>407</v>
      </c>
      <c r="B817" s="213" t="s">
        <v>500</v>
      </c>
      <c r="C817" s="213" t="s">
        <v>11</v>
      </c>
      <c r="D817" s="83">
        <v>176</v>
      </c>
      <c r="E817" s="280">
        <v>3499900</v>
      </c>
      <c r="F817" s="280">
        <v>3499900</v>
      </c>
      <c r="G817" s="191" t="s">
        <v>140</v>
      </c>
      <c r="H817" s="292">
        <v>0</v>
      </c>
      <c r="I817" s="292">
        <v>1707693</v>
      </c>
      <c r="J817" s="292">
        <v>1706945</v>
      </c>
      <c r="K817" s="292">
        <v>748</v>
      </c>
      <c r="L817" s="292">
        <v>-748</v>
      </c>
    </row>
    <row r="818" spans="1:12" x14ac:dyDescent="0.25">
      <c r="A818" s="83" t="s">
        <v>407</v>
      </c>
      <c r="B818" s="213" t="s">
        <v>507</v>
      </c>
      <c r="C818" s="213" t="s">
        <v>508</v>
      </c>
      <c r="D818" s="83">
        <v>57</v>
      </c>
      <c r="E818" s="280">
        <v>1491266</v>
      </c>
      <c r="F818" s="280">
        <v>1489175</v>
      </c>
      <c r="G818" s="191" t="s">
        <v>140</v>
      </c>
      <c r="H818" s="292">
        <v>2091</v>
      </c>
      <c r="I818" s="292">
        <v>548259</v>
      </c>
      <c r="J818" s="292">
        <v>548259</v>
      </c>
      <c r="K818" s="292">
        <v>0</v>
      </c>
      <c r="L818" s="292">
        <v>2091</v>
      </c>
    </row>
    <row r="819" spans="1:12" x14ac:dyDescent="0.25">
      <c r="A819" s="83" t="s">
        <v>407</v>
      </c>
      <c r="B819" s="213" t="s">
        <v>85</v>
      </c>
      <c r="C819" s="213" t="s">
        <v>26</v>
      </c>
      <c r="D819" s="83">
        <v>171</v>
      </c>
      <c r="E819" s="280">
        <v>4549931</v>
      </c>
      <c r="F819" s="280">
        <v>4549931</v>
      </c>
      <c r="G819" s="191" t="s">
        <v>140</v>
      </c>
      <c r="H819" s="292">
        <v>0</v>
      </c>
      <c r="I819" s="292">
        <v>420875</v>
      </c>
      <c r="J819" s="292">
        <v>420292</v>
      </c>
      <c r="K819" s="292">
        <v>583</v>
      </c>
      <c r="L819" s="292">
        <v>-583</v>
      </c>
    </row>
    <row r="820" spans="1:12" ht="30.75" x14ac:dyDescent="0.25">
      <c r="A820" s="83" t="s">
        <v>407</v>
      </c>
      <c r="B820" s="213" t="s">
        <v>547</v>
      </c>
      <c r="C820" s="213" t="s">
        <v>548</v>
      </c>
      <c r="D820" s="83">
        <v>156</v>
      </c>
      <c r="E820" s="280">
        <v>5797583</v>
      </c>
      <c r="F820" s="280">
        <v>5797583</v>
      </c>
      <c r="G820" s="191" t="s">
        <v>140</v>
      </c>
      <c r="H820" s="292">
        <v>0</v>
      </c>
      <c r="I820" s="292">
        <v>3639998</v>
      </c>
      <c r="J820" s="292">
        <v>3571501</v>
      </c>
      <c r="K820" s="292">
        <v>68497</v>
      </c>
      <c r="L820" s="292">
        <v>-68497</v>
      </c>
    </row>
    <row r="821" spans="1:12" x14ac:dyDescent="0.25">
      <c r="A821" s="83" t="s">
        <v>407</v>
      </c>
      <c r="B821" s="213" t="s">
        <v>549</v>
      </c>
      <c r="C821" s="213" t="s">
        <v>550</v>
      </c>
      <c r="D821" s="83">
        <v>146</v>
      </c>
      <c r="E821" s="280">
        <v>1738242</v>
      </c>
      <c r="F821" s="280">
        <v>1738242</v>
      </c>
      <c r="G821" s="191" t="s">
        <v>140</v>
      </c>
      <c r="H821" s="292">
        <v>0</v>
      </c>
      <c r="I821" s="292">
        <v>250700</v>
      </c>
      <c r="J821" s="292">
        <v>250499</v>
      </c>
      <c r="K821" s="292">
        <v>201</v>
      </c>
      <c r="L821" s="292">
        <v>-201</v>
      </c>
    </row>
    <row r="822" spans="1:12" x14ac:dyDescent="0.25">
      <c r="A822" s="83" t="s">
        <v>407</v>
      </c>
      <c r="B822" s="213" t="s">
        <v>542</v>
      </c>
      <c r="C822" s="213" t="s">
        <v>515</v>
      </c>
      <c r="D822" s="83">
        <v>208</v>
      </c>
      <c r="E822" s="280">
        <v>25057181</v>
      </c>
      <c r="F822" s="280">
        <v>24937249</v>
      </c>
      <c r="G822" s="191" t="s">
        <v>140</v>
      </c>
      <c r="H822" s="292">
        <v>119932</v>
      </c>
      <c r="I822" s="292">
        <v>1138703</v>
      </c>
      <c r="J822" s="292">
        <v>1138703</v>
      </c>
      <c r="K822" s="292">
        <v>0</v>
      </c>
      <c r="L822" s="292">
        <v>119932</v>
      </c>
    </row>
    <row r="823" spans="1:12" x14ac:dyDescent="0.25">
      <c r="A823" s="83" t="s">
        <v>407</v>
      </c>
      <c r="B823" s="213" t="s">
        <v>87</v>
      </c>
      <c r="C823" s="213" t="s">
        <v>17</v>
      </c>
      <c r="D823" s="83">
        <v>260</v>
      </c>
      <c r="E823" s="280">
        <v>12903346</v>
      </c>
      <c r="F823" s="280">
        <v>12891060</v>
      </c>
      <c r="G823" s="191" t="s">
        <v>140</v>
      </c>
      <c r="H823" s="292">
        <v>12286</v>
      </c>
      <c r="I823" s="292">
        <v>796556</v>
      </c>
      <c r="J823" s="292">
        <v>796556</v>
      </c>
      <c r="K823" s="292">
        <v>0</v>
      </c>
      <c r="L823" s="292">
        <v>12286</v>
      </c>
    </row>
    <row r="824" spans="1:12" ht="15.75" customHeight="1" x14ac:dyDescent="0.25">
      <c r="A824" s="199" t="s">
        <v>410</v>
      </c>
      <c r="B824" s="214" t="s">
        <v>140</v>
      </c>
      <c r="C824" s="214" t="s">
        <v>140</v>
      </c>
      <c r="D824" s="214" t="s">
        <v>140</v>
      </c>
      <c r="E824" s="293">
        <f>SUBTOTAL(109,school200102[Program
Costs])</f>
        <v>397097007</v>
      </c>
      <c r="F824" s="293">
        <f>SUBTOTAL(109,school200102[Less: Net Payments and Offsets2])</f>
        <v>392062400</v>
      </c>
      <c r="G824" s="214" t="s">
        <v>140</v>
      </c>
      <c r="H824" s="293">
        <f>SUBTOTAL(109,school200102[Accounts Payable
Balance])</f>
        <v>5034607</v>
      </c>
      <c r="I824" s="293">
        <f>SUBTOTAL(109,school200102[Established
Accounts Receivable])</f>
        <v>49635549</v>
      </c>
      <c r="J824" s="293">
        <f>SUBTOTAL(109,school200102[Less: Recovered Amount])</f>
        <v>36119171</v>
      </c>
      <c r="K824" s="293">
        <f>SUBTOTAL(109,school200102[Accounts Receivable
Balance])</f>
        <v>13516378</v>
      </c>
      <c r="L824" s="293">
        <f>SUBTOTAL(109,school200102[Net
Balance])</f>
        <v>-8481771</v>
      </c>
    </row>
    <row r="825" spans="1:12" x14ac:dyDescent="0.25">
      <c r="A825" s="195" t="s">
        <v>141</v>
      </c>
      <c r="B825" s="142"/>
      <c r="C825" s="142"/>
      <c r="D825" s="142"/>
      <c r="E825" s="26"/>
      <c r="F825" s="26"/>
      <c r="G825" s="196"/>
      <c r="H825" s="26"/>
      <c r="I825" s="26"/>
      <c r="J825" s="26"/>
      <c r="K825" s="26"/>
      <c r="L825" s="26"/>
    </row>
    <row r="826" spans="1:12" ht="50.1" customHeight="1" x14ac:dyDescent="0.25">
      <c r="A826" s="10" t="s">
        <v>5</v>
      </c>
      <c r="B826" s="10" t="s">
        <v>6</v>
      </c>
      <c r="C826" s="10" t="s">
        <v>0</v>
      </c>
      <c r="D826" s="10" t="s">
        <v>441</v>
      </c>
      <c r="E826" s="215" t="s">
        <v>234</v>
      </c>
      <c r="F826" s="216" t="s">
        <v>452</v>
      </c>
      <c r="G826" s="217" t="s">
        <v>142</v>
      </c>
      <c r="H826" s="215" t="s">
        <v>444</v>
      </c>
      <c r="I826" s="215" t="s">
        <v>445</v>
      </c>
      <c r="J826" s="215" t="s">
        <v>446</v>
      </c>
      <c r="K826" s="215" t="s">
        <v>447</v>
      </c>
      <c r="L826" s="215" t="s">
        <v>305</v>
      </c>
    </row>
    <row r="827" spans="1:12" ht="30.75" x14ac:dyDescent="0.25">
      <c r="A827" s="83" t="s">
        <v>411</v>
      </c>
      <c r="B827" s="213" t="s">
        <v>495</v>
      </c>
      <c r="C827" s="213" t="s">
        <v>490</v>
      </c>
      <c r="D827" s="83">
        <v>348</v>
      </c>
      <c r="E827" s="280">
        <v>37507169</v>
      </c>
      <c r="F827" s="280">
        <v>34737941</v>
      </c>
      <c r="G827" s="191" t="s">
        <v>140</v>
      </c>
      <c r="H827" s="292">
        <v>2769228</v>
      </c>
      <c r="I827" s="292">
        <v>0</v>
      </c>
      <c r="J827" s="292">
        <v>0</v>
      </c>
      <c r="K827" s="292">
        <v>0</v>
      </c>
      <c r="L827" s="292">
        <v>2769228</v>
      </c>
    </row>
    <row r="828" spans="1:12" x14ac:dyDescent="0.25">
      <c r="A828" s="83" t="s">
        <v>411</v>
      </c>
      <c r="B828" s="213" t="s">
        <v>544</v>
      </c>
      <c r="C828" s="213" t="s">
        <v>465</v>
      </c>
      <c r="D828" s="83">
        <v>140</v>
      </c>
      <c r="E828" s="280">
        <v>4273725</v>
      </c>
      <c r="F828" s="280">
        <v>4273725</v>
      </c>
      <c r="G828" s="191" t="s">
        <v>140</v>
      </c>
      <c r="H828" s="292">
        <v>0</v>
      </c>
      <c r="I828" s="292">
        <v>84006</v>
      </c>
      <c r="J828" s="292">
        <v>82254</v>
      </c>
      <c r="K828" s="292">
        <v>1752</v>
      </c>
      <c r="L828" s="292">
        <v>-1752</v>
      </c>
    </row>
    <row r="829" spans="1:12" x14ac:dyDescent="0.25">
      <c r="A829" s="83" t="s">
        <v>411</v>
      </c>
      <c r="B829" s="213" t="s">
        <v>74</v>
      </c>
      <c r="C829" s="213" t="s">
        <v>15</v>
      </c>
      <c r="D829" s="83">
        <v>183</v>
      </c>
      <c r="E829" s="280">
        <v>5005920</v>
      </c>
      <c r="F829" s="280">
        <v>5005920</v>
      </c>
      <c r="G829" s="191" t="s">
        <v>140</v>
      </c>
      <c r="H829" s="292">
        <v>0</v>
      </c>
      <c r="I829" s="292">
        <v>743465</v>
      </c>
      <c r="J829" s="292">
        <v>741868</v>
      </c>
      <c r="K829" s="292">
        <v>1597</v>
      </c>
      <c r="L829" s="292">
        <v>-1597</v>
      </c>
    </row>
    <row r="830" spans="1:12" x14ac:dyDescent="0.25">
      <c r="A830" s="83" t="s">
        <v>411</v>
      </c>
      <c r="B830" s="213" t="s">
        <v>518</v>
      </c>
      <c r="C830" s="213" t="s">
        <v>17</v>
      </c>
      <c r="D830" s="83">
        <v>26</v>
      </c>
      <c r="E830" s="280">
        <v>9008998</v>
      </c>
      <c r="F830" s="280">
        <v>9008998</v>
      </c>
      <c r="G830" s="191" t="s">
        <v>140</v>
      </c>
      <c r="H830" s="292">
        <v>0</v>
      </c>
      <c r="I830" s="292">
        <v>6745209</v>
      </c>
      <c r="J830" s="292">
        <v>6707289</v>
      </c>
      <c r="K830" s="292">
        <v>37920</v>
      </c>
      <c r="L830" s="292">
        <v>-37920</v>
      </c>
    </row>
    <row r="831" spans="1:12" ht="30.75" x14ac:dyDescent="0.25">
      <c r="A831" s="83" t="s">
        <v>411</v>
      </c>
      <c r="B831" s="213" t="s">
        <v>541</v>
      </c>
      <c r="C831" s="213" t="s">
        <v>17</v>
      </c>
      <c r="D831" s="83">
        <v>295</v>
      </c>
      <c r="E831" s="280">
        <v>156326089</v>
      </c>
      <c r="F831" s="280">
        <v>155700922</v>
      </c>
      <c r="G831" s="191" t="s">
        <v>140</v>
      </c>
      <c r="H831" s="292">
        <v>625167</v>
      </c>
      <c r="I831" s="292">
        <v>0</v>
      </c>
      <c r="J831" s="292">
        <v>0</v>
      </c>
      <c r="K831" s="292">
        <v>0</v>
      </c>
      <c r="L831" s="292">
        <v>625167</v>
      </c>
    </row>
    <row r="832" spans="1:12" x14ac:dyDescent="0.25">
      <c r="A832" s="83" t="s">
        <v>411</v>
      </c>
      <c r="B832" s="213" t="s">
        <v>77</v>
      </c>
      <c r="C832" s="213" t="s">
        <v>18</v>
      </c>
      <c r="D832" s="83">
        <v>166</v>
      </c>
      <c r="E832" s="280">
        <v>8137909</v>
      </c>
      <c r="F832" s="280">
        <v>8137909</v>
      </c>
      <c r="G832" s="191" t="s">
        <v>140</v>
      </c>
      <c r="H832" s="292">
        <v>0</v>
      </c>
      <c r="I832" s="292">
        <v>2391214</v>
      </c>
      <c r="J832" s="292">
        <v>2385214</v>
      </c>
      <c r="K832" s="292">
        <v>6000</v>
      </c>
      <c r="L832" s="292">
        <v>-6000</v>
      </c>
    </row>
    <row r="833" spans="1:12" x14ac:dyDescent="0.25">
      <c r="A833" s="83" t="s">
        <v>411</v>
      </c>
      <c r="B833" s="213" t="s">
        <v>81</v>
      </c>
      <c r="C833" s="213" t="s">
        <v>22</v>
      </c>
      <c r="D833" s="83">
        <v>153</v>
      </c>
      <c r="E833" s="280">
        <v>9807270</v>
      </c>
      <c r="F833" s="280">
        <v>9807270</v>
      </c>
      <c r="G833" s="191" t="s">
        <v>140</v>
      </c>
      <c r="H833" s="292">
        <v>0</v>
      </c>
      <c r="I833" s="292">
        <v>1636613</v>
      </c>
      <c r="J833" s="292">
        <v>1636463</v>
      </c>
      <c r="K833" s="292">
        <v>150</v>
      </c>
      <c r="L833" s="292">
        <v>-150</v>
      </c>
    </row>
    <row r="834" spans="1:12" x14ac:dyDescent="0.25">
      <c r="A834" s="83" t="s">
        <v>411</v>
      </c>
      <c r="B834" s="213" t="s">
        <v>408</v>
      </c>
      <c r="C834" s="213" t="s">
        <v>409</v>
      </c>
      <c r="D834" s="83">
        <v>169</v>
      </c>
      <c r="E834" s="280">
        <v>231880</v>
      </c>
      <c r="F834" s="280">
        <v>231880</v>
      </c>
      <c r="G834" s="191" t="s">
        <v>140</v>
      </c>
      <c r="H834" s="292">
        <v>0</v>
      </c>
      <c r="I834" s="292">
        <v>56171</v>
      </c>
      <c r="J834" s="292">
        <v>54892</v>
      </c>
      <c r="K834" s="292">
        <v>1279</v>
      </c>
      <c r="L834" s="292">
        <v>-1279</v>
      </c>
    </row>
    <row r="835" spans="1:12" x14ac:dyDescent="0.25">
      <c r="A835" s="83" t="s">
        <v>411</v>
      </c>
      <c r="B835" s="213" t="s">
        <v>338</v>
      </c>
      <c r="C835" s="213" t="s">
        <v>339</v>
      </c>
      <c r="D835" s="83">
        <v>42</v>
      </c>
      <c r="E835" s="280">
        <v>15900354</v>
      </c>
      <c r="F835" s="280">
        <v>15900354</v>
      </c>
      <c r="G835" s="191" t="s">
        <v>140</v>
      </c>
      <c r="H835" s="292">
        <v>0</v>
      </c>
      <c r="I835" s="292">
        <v>488975</v>
      </c>
      <c r="J835" s="292">
        <v>487057</v>
      </c>
      <c r="K835" s="292">
        <v>1918</v>
      </c>
      <c r="L835" s="292">
        <v>-1918</v>
      </c>
    </row>
    <row r="836" spans="1:12" x14ac:dyDescent="0.25">
      <c r="A836" s="83" t="s">
        <v>411</v>
      </c>
      <c r="B836" s="213" t="s">
        <v>418</v>
      </c>
      <c r="C836" s="213" t="s">
        <v>327</v>
      </c>
      <c r="D836" s="83">
        <v>92</v>
      </c>
      <c r="E836" s="280">
        <v>2854</v>
      </c>
      <c r="F836" s="280">
        <v>2854</v>
      </c>
      <c r="G836" s="191" t="s">
        <v>140</v>
      </c>
      <c r="H836" s="292">
        <v>0</v>
      </c>
      <c r="I836" s="292">
        <v>37398</v>
      </c>
      <c r="J836" s="292">
        <v>30346</v>
      </c>
      <c r="K836" s="292">
        <v>7052</v>
      </c>
      <c r="L836" s="292">
        <v>-7052</v>
      </c>
    </row>
    <row r="837" spans="1:12" x14ac:dyDescent="0.25">
      <c r="A837" s="83" t="s">
        <v>411</v>
      </c>
      <c r="B837" s="213" t="s">
        <v>546</v>
      </c>
      <c r="C837" s="213" t="s">
        <v>327</v>
      </c>
      <c r="D837" s="83">
        <v>201</v>
      </c>
      <c r="E837" s="280">
        <v>10104090</v>
      </c>
      <c r="F837" s="280">
        <v>10093674</v>
      </c>
      <c r="G837" s="191" t="s">
        <v>140</v>
      </c>
      <c r="H837" s="292">
        <v>10416</v>
      </c>
      <c r="I837" s="292">
        <v>124736</v>
      </c>
      <c r="J837" s="292">
        <v>119796</v>
      </c>
      <c r="K837" s="292">
        <v>4940</v>
      </c>
      <c r="L837" s="292">
        <v>5476</v>
      </c>
    </row>
    <row r="838" spans="1:12" x14ac:dyDescent="0.25">
      <c r="A838" s="83" t="s">
        <v>411</v>
      </c>
      <c r="B838" s="213" t="s">
        <v>326</v>
      </c>
      <c r="C838" s="213" t="s">
        <v>327</v>
      </c>
      <c r="D838" s="83">
        <v>218</v>
      </c>
      <c r="E838" s="280">
        <v>635471</v>
      </c>
      <c r="F838" s="280">
        <v>629646</v>
      </c>
      <c r="G838" s="191" t="s">
        <v>140</v>
      </c>
      <c r="H838" s="292">
        <v>5825</v>
      </c>
      <c r="I838" s="292">
        <v>0</v>
      </c>
      <c r="J838" s="292">
        <v>0</v>
      </c>
      <c r="K838" s="292">
        <v>0</v>
      </c>
      <c r="L838" s="292">
        <v>5825</v>
      </c>
    </row>
    <row r="839" spans="1:12" x14ac:dyDescent="0.25">
      <c r="A839" s="83" t="s">
        <v>411</v>
      </c>
      <c r="B839" s="213" t="s">
        <v>459</v>
      </c>
      <c r="C839" s="213" t="s">
        <v>460</v>
      </c>
      <c r="D839" s="83">
        <v>173</v>
      </c>
      <c r="E839" s="280">
        <v>2328624</v>
      </c>
      <c r="F839" s="280">
        <v>2328624</v>
      </c>
      <c r="G839" s="191" t="s">
        <v>140</v>
      </c>
      <c r="H839" s="292">
        <v>0</v>
      </c>
      <c r="I839" s="292">
        <v>237134</v>
      </c>
      <c r="J839" s="292">
        <v>236756</v>
      </c>
      <c r="K839" s="292">
        <v>378</v>
      </c>
      <c r="L839" s="292">
        <v>-378</v>
      </c>
    </row>
    <row r="840" spans="1:12" ht="45.75" x14ac:dyDescent="0.25">
      <c r="A840" s="83" t="s">
        <v>411</v>
      </c>
      <c r="B840" s="213" t="s">
        <v>551</v>
      </c>
      <c r="C840" s="213" t="s">
        <v>552</v>
      </c>
      <c r="D840" s="83">
        <v>328</v>
      </c>
      <c r="E840" s="280">
        <v>367657</v>
      </c>
      <c r="F840" s="280">
        <v>366383</v>
      </c>
      <c r="G840" s="191" t="s">
        <v>140</v>
      </c>
      <c r="H840" s="292">
        <v>1274</v>
      </c>
      <c r="I840" s="292">
        <v>0</v>
      </c>
      <c r="J840" s="292">
        <v>0</v>
      </c>
      <c r="K840" s="292">
        <v>0</v>
      </c>
      <c r="L840" s="292">
        <v>1274</v>
      </c>
    </row>
    <row r="841" spans="1:12" x14ac:dyDescent="0.25">
      <c r="A841" s="83" t="s">
        <v>411</v>
      </c>
      <c r="B841" s="213" t="s">
        <v>539</v>
      </c>
      <c r="C841" s="213" t="s">
        <v>467</v>
      </c>
      <c r="D841" s="83">
        <v>139</v>
      </c>
      <c r="E841" s="280">
        <v>5226049</v>
      </c>
      <c r="F841" s="280">
        <v>5226049</v>
      </c>
      <c r="G841" s="191" t="s">
        <v>140</v>
      </c>
      <c r="H841" s="292">
        <v>0</v>
      </c>
      <c r="I841" s="292">
        <v>301477</v>
      </c>
      <c r="J841" s="292">
        <v>300847</v>
      </c>
      <c r="K841" s="292">
        <v>630</v>
      </c>
      <c r="L841" s="292">
        <v>-630</v>
      </c>
    </row>
    <row r="842" spans="1:12" x14ac:dyDescent="0.25">
      <c r="A842" s="83" t="s">
        <v>411</v>
      </c>
      <c r="B842" s="213" t="s">
        <v>507</v>
      </c>
      <c r="C842" s="213" t="s">
        <v>508</v>
      </c>
      <c r="D842" s="83">
        <v>57</v>
      </c>
      <c r="E842" s="280">
        <v>1047563</v>
      </c>
      <c r="F842" s="280">
        <v>1047255</v>
      </c>
      <c r="G842" s="191" t="s">
        <v>140</v>
      </c>
      <c r="H842" s="292">
        <v>308</v>
      </c>
      <c r="I842" s="292">
        <v>780671</v>
      </c>
      <c r="J842" s="292">
        <v>780671</v>
      </c>
      <c r="K842" s="292">
        <v>0</v>
      </c>
      <c r="L842" s="292">
        <v>308</v>
      </c>
    </row>
    <row r="843" spans="1:12" x14ac:dyDescent="0.25">
      <c r="A843" s="83" t="s">
        <v>411</v>
      </c>
      <c r="B843" s="213" t="s">
        <v>553</v>
      </c>
      <c r="C843" s="213" t="s">
        <v>554</v>
      </c>
      <c r="D843" s="83">
        <v>184</v>
      </c>
      <c r="E843" s="280">
        <v>2769154</v>
      </c>
      <c r="F843" s="280">
        <v>2765894</v>
      </c>
      <c r="G843" s="191" t="s">
        <v>140</v>
      </c>
      <c r="H843" s="292">
        <v>3260</v>
      </c>
      <c r="I843" s="292">
        <v>2356</v>
      </c>
      <c r="J843" s="292">
        <v>2356</v>
      </c>
      <c r="K843" s="292">
        <v>0</v>
      </c>
      <c r="L843" s="292">
        <v>3260</v>
      </c>
    </row>
    <row r="844" spans="1:12" ht="30.75" x14ac:dyDescent="0.25">
      <c r="A844" s="83" t="s">
        <v>411</v>
      </c>
      <c r="B844" s="213" t="s">
        <v>547</v>
      </c>
      <c r="C844" s="213" t="s">
        <v>548</v>
      </c>
      <c r="D844" s="83">
        <v>156</v>
      </c>
      <c r="E844" s="280">
        <v>2951587</v>
      </c>
      <c r="F844" s="280">
        <v>2951587</v>
      </c>
      <c r="G844" s="191" t="s">
        <v>140</v>
      </c>
      <c r="H844" s="292">
        <v>0</v>
      </c>
      <c r="I844" s="292">
        <v>4502407</v>
      </c>
      <c r="J844" s="292">
        <v>4444654</v>
      </c>
      <c r="K844" s="292">
        <v>57753</v>
      </c>
      <c r="L844" s="292">
        <v>-57753</v>
      </c>
    </row>
    <row r="845" spans="1:12" x14ac:dyDescent="0.25">
      <c r="A845" s="83" t="s">
        <v>411</v>
      </c>
      <c r="B845" s="213" t="s">
        <v>509</v>
      </c>
      <c r="C845" s="213" t="s">
        <v>510</v>
      </c>
      <c r="D845" s="83">
        <v>58</v>
      </c>
      <c r="E845" s="280">
        <v>2597892</v>
      </c>
      <c r="F845" s="280">
        <v>2597892</v>
      </c>
      <c r="G845" s="191" t="s">
        <v>140</v>
      </c>
      <c r="H845" s="292">
        <v>0</v>
      </c>
      <c r="I845" s="292">
        <v>227843</v>
      </c>
      <c r="J845" s="292">
        <v>227326</v>
      </c>
      <c r="K845" s="292">
        <v>517</v>
      </c>
      <c r="L845" s="292">
        <v>-517</v>
      </c>
    </row>
    <row r="846" spans="1:12" x14ac:dyDescent="0.25">
      <c r="A846" s="83" t="s">
        <v>411</v>
      </c>
      <c r="B846" s="213" t="s">
        <v>542</v>
      </c>
      <c r="C846" s="213" t="s">
        <v>515</v>
      </c>
      <c r="D846" s="83">
        <v>208</v>
      </c>
      <c r="E846" s="280">
        <v>21601815</v>
      </c>
      <c r="F846" s="280">
        <v>21537808</v>
      </c>
      <c r="G846" s="191" t="s">
        <v>140</v>
      </c>
      <c r="H846" s="292">
        <v>64007</v>
      </c>
      <c r="I846" s="292">
        <v>1912828</v>
      </c>
      <c r="J846" s="292">
        <v>1912828</v>
      </c>
      <c r="K846" s="292">
        <v>0</v>
      </c>
      <c r="L846" s="292">
        <v>64007</v>
      </c>
    </row>
    <row r="847" spans="1:12" x14ac:dyDescent="0.25">
      <c r="A847" s="83" t="s">
        <v>411</v>
      </c>
      <c r="B847" s="213" t="s">
        <v>87</v>
      </c>
      <c r="C847" s="213" t="s">
        <v>17</v>
      </c>
      <c r="D847" s="83">
        <v>260</v>
      </c>
      <c r="E847" s="280">
        <v>10398943</v>
      </c>
      <c r="F847" s="280">
        <v>10397070</v>
      </c>
      <c r="G847" s="191" t="s">
        <v>140</v>
      </c>
      <c r="H847" s="292">
        <v>1873</v>
      </c>
      <c r="I847" s="292">
        <v>940785</v>
      </c>
      <c r="J847" s="292">
        <v>940785</v>
      </c>
      <c r="K847" s="292">
        <v>0</v>
      </c>
      <c r="L847" s="292">
        <v>1873</v>
      </c>
    </row>
    <row r="848" spans="1:12" ht="15.75" customHeight="1" x14ac:dyDescent="0.25">
      <c r="A848" s="199" t="s">
        <v>412</v>
      </c>
      <c r="B848" s="214" t="s">
        <v>140</v>
      </c>
      <c r="C848" s="214" t="s">
        <v>140</v>
      </c>
      <c r="D848" s="214" t="s">
        <v>140</v>
      </c>
      <c r="E848" s="293">
        <f>SUBTOTAL(109,school200001[Program
Costs])</f>
        <v>306231013</v>
      </c>
      <c r="F848" s="293">
        <f>SUBTOTAL(109,school200001[Less: Net Payments and Offsets2])</f>
        <v>302749655</v>
      </c>
      <c r="G848" s="214" t="s">
        <v>140</v>
      </c>
      <c r="H848" s="293">
        <f>SUBTOTAL(109,school200001[Accounts Payable
Balance])</f>
        <v>3481358</v>
      </c>
      <c r="I848" s="293">
        <f>SUBTOTAL(109,school200001[Established
Accounts Receivable])</f>
        <v>21213288</v>
      </c>
      <c r="J848" s="293">
        <f>SUBTOTAL(109,school200001[Less: Recovered Amount])</f>
        <v>21091402</v>
      </c>
      <c r="K848" s="293">
        <f>SUBTOTAL(109,school200001[Accounts Receivable
Balance])</f>
        <v>121886</v>
      </c>
      <c r="L848" s="293">
        <f>SUBTOTAL(109,school200001[Net
Balance])</f>
        <v>3359472</v>
      </c>
    </row>
    <row r="849" spans="1:12" x14ac:dyDescent="0.25">
      <c r="A849" s="195" t="s">
        <v>141</v>
      </c>
      <c r="B849" s="142"/>
      <c r="C849" s="142"/>
      <c r="D849" s="142"/>
      <c r="E849" s="26"/>
      <c r="F849" s="26"/>
      <c r="G849" s="196"/>
      <c r="H849" s="26"/>
      <c r="I849" s="26"/>
      <c r="J849" s="26"/>
      <c r="K849" s="26"/>
      <c r="L849" s="26"/>
    </row>
    <row r="850" spans="1:12" ht="50.1" customHeight="1" x14ac:dyDescent="0.25">
      <c r="A850" s="10" t="s">
        <v>5</v>
      </c>
      <c r="B850" s="10" t="s">
        <v>6</v>
      </c>
      <c r="C850" s="10" t="s">
        <v>0</v>
      </c>
      <c r="D850" s="10" t="s">
        <v>441</v>
      </c>
      <c r="E850" s="215" t="s">
        <v>234</v>
      </c>
      <c r="F850" s="216" t="s">
        <v>452</v>
      </c>
      <c r="G850" s="217" t="s">
        <v>142</v>
      </c>
      <c r="H850" s="215" t="s">
        <v>444</v>
      </c>
      <c r="I850" s="215" t="s">
        <v>445</v>
      </c>
      <c r="J850" s="215" t="s">
        <v>446</v>
      </c>
      <c r="K850" s="215" t="s">
        <v>447</v>
      </c>
      <c r="L850" s="215" t="s">
        <v>305</v>
      </c>
    </row>
    <row r="851" spans="1:12" ht="30.75" x14ac:dyDescent="0.25">
      <c r="A851" s="83" t="s">
        <v>413</v>
      </c>
      <c r="B851" s="213" t="s">
        <v>495</v>
      </c>
      <c r="C851" s="213" t="s">
        <v>490</v>
      </c>
      <c r="D851" s="83">
        <v>348</v>
      </c>
      <c r="E851" s="280">
        <v>35228511</v>
      </c>
      <c r="F851" s="280">
        <v>32753841</v>
      </c>
      <c r="G851" s="191" t="s">
        <v>140</v>
      </c>
      <c r="H851" s="292">
        <v>2474670</v>
      </c>
      <c r="I851" s="292">
        <v>0</v>
      </c>
      <c r="J851" s="292">
        <v>0</v>
      </c>
      <c r="K851" s="292">
        <v>0</v>
      </c>
      <c r="L851" s="292">
        <v>2474670</v>
      </c>
    </row>
    <row r="852" spans="1:12" x14ac:dyDescent="0.25">
      <c r="A852" s="83" t="s">
        <v>413</v>
      </c>
      <c r="B852" s="213" t="s">
        <v>544</v>
      </c>
      <c r="C852" s="213" t="s">
        <v>465</v>
      </c>
      <c r="D852" s="83">
        <v>140</v>
      </c>
      <c r="E852" s="280">
        <v>3780229</v>
      </c>
      <c r="F852" s="280">
        <v>3780229</v>
      </c>
      <c r="G852" s="191" t="s">
        <v>140</v>
      </c>
      <c r="H852" s="292">
        <v>0</v>
      </c>
      <c r="I852" s="292">
        <v>66628</v>
      </c>
      <c r="J852" s="292">
        <v>64889</v>
      </c>
      <c r="K852" s="292">
        <v>1739</v>
      </c>
      <c r="L852" s="292">
        <v>-1739</v>
      </c>
    </row>
    <row r="853" spans="1:12" ht="30.75" x14ac:dyDescent="0.25">
      <c r="A853" s="83" t="s">
        <v>413</v>
      </c>
      <c r="B853" s="213" t="s">
        <v>72</v>
      </c>
      <c r="C853" s="213" t="s">
        <v>13</v>
      </c>
      <c r="D853" s="83">
        <v>11</v>
      </c>
      <c r="E853" s="280">
        <v>43276594</v>
      </c>
      <c r="F853" s="280">
        <v>43276594</v>
      </c>
      <c r="G853" s="191" t="s">
        <v>140</v>
      </c>
      <c r="H853" s="292">
        <v>0</v>
      </c>
      <c r="I853" s="292">
        <v>5245736</v>
      </c>
      <c r="J853" s="292">
        <v>5240272</v>
      </c>
      <c r="K853" s="292">
        <v>5464</v>
      </c>
      <c r="L853" s="292">
        <v>-5464</v>
      </c>
    </row>
    <row r="854" spans="1:12" x14ac:dyDescent="0.25">
      <c r="A854" s="83" t="s">
        <v>413</v>
      </c>
      <c r="B854" s="213" t="s">
        <v>518</v>
      </c>
      <c r="C854" s="213" t="s">
        <v>17</v>
      </c>
      <c r="D854" s="83">
        <v>26</v>
      </c>
      <c r="E854" s="280">
        <v>7457120</v>
      </c>
      <c r="F854" s="280">
        <v>7457120</v>
      </c>
      <c r="G854" s="191" t="s">
        <v>140</v>
      </c>
      <c r="H854" s="292">
        <v>0</v>
      </c>
      <c r="I854" s="292">
        <v>1014331</v>
      </c>
      <c r="J854" s="292">
        <v>983829</v>
      </c>
      <c r="K854" s="292">
        <v>30502</v>
      </c>
      <c r="L854" s="292">
        <v>-30502</v>
      </c>
    </row>
    <row r="855" spans="1:12" ht="30.75" x14ac:dyDescent="0.25">
      <c r="A855" s="83" t="s">
        <v>413</v>
      </c>
      <c r="B855" s="213" t="s">
        <v>541</v>
      </c>
      <c r="C855" s="213" t="s">
        <v>17</v>
      </c>
      <c r="D855" s="83">
        <v>295</v>
      </c>
      <c r="E855" s="280">
        <v>136367742</v>
      </c>
      <c r="F855" s="280">
        <v>135960581</v>
      </c>
      <c r="G855" s="191" t="s">
        <v>140</v>
      </c>
      <c r="H855" s="292">
        <v>407161</v>
      </c>
      <c r="I855" s="292">
        <v>0</v>
      </c>
      <c r="J855" s="292">
        <v>0</v>
      </c>
      <c r="K855" s="292">
        <v>0</v>
      </c>
      <c r="L855" s="292">
        <v>407161</v>
      </c>
    </row>
    <row r="856" spans="1:12" x14ac:dyDescent="0.25">
      <c r="A856" s="83" t="s">
        <v>413</v>
      </c>
      <c r="B856" s="213" t="s">
        <v>338</v>
      </c>
      <c r="C856" s="213" t="s">
        <v>339</v>
      </c>
      <c r="D856" s="83">
        <v>42</v>
      </c>
      <c r="E856" s="280">
        <v>14287192</v>
      </c>
      <c r="F856" s="280">
        <v>14287192</v>
      </c>
      <c r="G856" s="191" t="s">
        <v>140</v>
      </c>
      <c r="H856" s="292">
        <v>0</v>
      </c>
      <c r="I856" s="292">
        <v>111664</v>
      </c>
      <c r="J856" s="292">
        <v>111537</v>
      </c>
      <c r="K856" s="292">
        <v>127</v>
      </c>
      <c r="L856" s="292">
        <v>-127</v>
      </c>
    </row>
    <row r="857" spans="1:12" x14ac:dyDescent="0.25">
      <c r="A857" s="83" t="s">
        <v>413</v>
      </c>
      <c r="B857" s="213" t="s">
        <v>418</v>
      </c>
      <c r="C857" s="213" t="s">
        <v>327</v>
      </c>
      <c r="D857" s="83">
        <v>92</v>
      </c>
      <c r="E857" s="280">
        <v>4416671</v>
      </c>
      <c r="F857" s="280">
        <v>4416671</v>
      </c>
      <c r="G857" s="191" t="s">
        <v>140</v>
      </c>
      <c r="H857" s="292">
        <v>0</v>
      </c>
      <c r="I857" s="292">
        <v>67236</v>
      </c>
      <c r="J857" s="292">
        <v>67019</v>
      </c>
      <c r="K857" s="292">
        <v>217</v>
      </c>
      <c r="L857" s="292">
        <v>-217</v>
      </c>
    </row>
    <row r="858" spans="1:12" x14ac:dyDescent="0.25">
      <c r="A858" s="83" t="s">
        <v>413</v>
      </c>
      <c r="B858" s="213" t="s">
        <v>326</v>
      </c>
      <c r="C858" s="213" t="s">
        <v>327</v>
      </c>
      <c r="D858" s="83">
        <v>218</v>
      </c>
      <c r="E858" s="280">
        <v>222400</v>
      </c>
      <c r="F858" s="280">
        <v>219969</v>
      </c>
      <c r="G858" s="191" t="s">
        <v>140</v>
      </c>
      <c r="H858" s="292">
        <v>2431</v>
      </c>
      <c r="I858" s="292">
        <v>0</v>
      </c>
      <c r="J858" s="292">
        <v>0</v>
      </c>
      <c r="K858" s="292">
        <v>0</v>
      </c>
      <c r="L858" s="292">
        <v>2431</v>
      </c>
    </row>
    <row r="859" spans="1:12" x14ac:dyDescent="0.25">
      <c r="A859" s="83" t="s">
        <v>413</v>
      </c>
      <c r="B859" s="213" t="s">
        <v>555</v>
      </c>
      <c r="C859" s="213" t="s">
        <v>554</v>
      </c>
      <c r="D859" s="83">
        <v>137</v>
      </c>
      <c r="E859" s="280">
        <v>242</v>
      </c>
      <c r="F859" s="280">
        <v>242</v>
      </c>
      <c r="G859" s="191" t="s">
        <v>140</v>
      </c>
      <c r="H859" s="292">
        <v>0</v>
      </c>
      <c r="I859" s="292">
        <v>5578</v>
      </c>
      <c r="J859" s="292">
        <v>5336</v>
      </c>
      <c r="K859" s="292">
        <v>242</v>
      </c>
      <c r="L859" s="292">
        <v>-242</v>
      </c>
    </row>
    <row r="860" spans="1:12" x14ac:dyDescent="0.25">
      <c r="A860" s="83" t="s">
        <v>413</v>
      </c>
      <c r="B860" s="213" t="s">
        <v>553</v>
      </c>
      <c r="C860" s="213" t="s">
        <v>554</v>
      </c>
      <c r="D860" s="83">
        <v>184</v>
      </c>
      <c r="E860" s="280">
        <v>3567570</v>
      </c>
      <c r="F860" s="280">
        <v>3567570</v>
      </c>
      <c r="G860" s="191" t="s">
        <v>140</v>
      </c>
      <c r="H860" s="292">
        <v>0</v>
      </c>
      <c r="I860" s="292">
        <v>21765</v>
      </c>
      <c r="J860" s="292">
        <v>21752</v>
      </c>
      <c r="K860" s="292">
        <v>13</v>
      </c>
      <c r="L860" s="292">
        <v>-13</v>
      </c>
    </row>
    <row r="861" spans="1:12" x14ac:dyDescent="0.25">
      <c r="A861" s="83" t="s">
        <v>413</v>
      </c>
      <c r="B861" s="213" t="s">
        <v>542</v>
      </c>
      <c r="C861" s="213" t="s">
        <v>515</v>
      </c>
      <c r="D861" s="83">
        <v>208</v>
      </c>
      <c r="E861" s="280">
        <v>23284241</v>
      </c>
      <c r="F861" s="280">
        <v>23249938</v>
      </c>
      <c r="G861" s="191" t="s">
        <v>140</v>
      </c>
      <c r="H861" s="292">
        <v>34303</v>
      </c>
      <c r="I861" s="292">
        <v>1272821</v>
      </c>
      <c r="J861" s="292">
        <v>1272821</v>
      </c>
      <c r="K861" s="292">
        <v>0</v>
      </c>
      <c r="L861" s="292">
        <v>34303</v>
      </c>
    </row>
    <row r="862" spans="1:12" ht="15.75" customHeight="1" x14ac:dyDescent="0.25">
      <c r="A862" s="199" t="s">
        <v>416</v>
      </c>
      <c r="B862" s="214" t="s">
        <v>140</v>
      </c>
      <c r="C862" s="214" t="s">
        <v>140</v>
      </c>
      <c r="D862" s="214" t="s">
        <v>140</v>
      </c>
      <c r="E862" s="293">
        <f>SUBTOTAL(109,school199900[Program
Costs])</f>
        <v>271888512</v>
      </c>
      <c r="F862" s="293">
        <f>SUBTOTAL(109,school199900[Less: Net Payments and Offsets2])</f>
        <v>268969947</v>
      </c>
      <c r="G862" s="214" t="s">
        <v>140</v>
      </c>
      <c r="H862" s="293">
        <f>SUBTOTAL(109,school199900[Accounts Payable
Balance])</f>
        <v>2918565</v>
      </c>
      <c r="I862" s="293">
        <f>SUBTOTAL(109,school199900[Established
Accounts Receivable])</f>
        <v>7805759</v>
      </c>
      <c r="J862" s="293">
        <f>SUBTOTAL(109,school199900[Less: Recovered Amount])</f>
        <v>7767455</v>
      </c>
      <c r="K862" s="293">
        <f>SUBTOTAL(109,school199900[Accounts Receivable
Balance])</f>
        <v>38304</v>
      </c>
      <c r="L862" s="293">
        <f>SUBTOTAL(109,school199900[Net
Balance])</f>
        <v>2880261</v>
      </c>
    </row>
    <row r="863" spans="1:12" x14ac:dyDescent="0.25">
      <c r="A863" s="195" t="s">
        <v>141</v>
      </c>
      <c r="B863" s="142"/>
      <c r="C863" s="142"/>
      <c r="D863" s="142"/>
      <c r="E863" s="26"/>
      <c r="F863" s="26"/>
      <c r="G863" s="196"/>
      <c r="H863" s="26"/>
      <c r="I863" s="26"/>
      <c r="J863" s="26"/>
      <c r="K863" s="26"/>
      <c r="L863" s="26"/>
    </row>
    <row r="864" spans="1:12" ht="50.1" customHeight="1" x14ac:dyDescent="0.25">
      <c r="A864" s="10" t="s">
        <v>5</v>
      </c>
      <c r="B864" s="10" t="s">
        <v>6</v>
      </c>
      <c r="C864" s="10" t="s">
        <v>0</v>
      </c>
      <c r="D864" s="10" t="s">
        <v>441</v>
      </c>
      <c r="E864" s="215" t="s">
        <v>234</v>
      </c>
      <c r="F864" s="216" t="s">
        <v>452</v>
      </c>
      <c r="G864" s="217" t="s">
        <v>142</v>
      </c>
      <c r="H864" s="215" t="s">
        <v>444</v>
      </c>
      <c r="I864" s="215" t="s">
        <v>445</v>
      </c>
      <c r="J864" s="215" t="s">
        <v>446</v>
      </c>
      <c r="K864" s="215" t="s">
        <v>447</v>
      </c>
      <c r="L864" s="215" t="s">
        <v>305</v>
      </c>
    </row>
    <row r="865" spans="1:12" ht="30.75" x14ac:dyDescent="0.25">
      <c r="A865" s="83" t="s">
        <v>417</v>
      </c>
      <c r="B865" s="213" t="s">
        <v>495</v>
      </c>
      <c r="C865" s="213" t="s">
        <v>490</v>
      </c>
      <c r="D865" s="83">
        <v>348</v>
      </c>
      <c r="E865" s="280">
        <v>33439820</v>
      </c>
      <c r="F865" s="280">
        <v>31066839</v>
      </c>
      <c r="G865" s="191" t="s">
        <v>140</v>
      </c>
      <c r="H865" s="292">
        <v>2372981</v>
      </c>
      <c r="I865" s="292">
        <v>0</v>
      </c>
      <c r="J865" s="292">
        <v>0</v>
      </c>
      <c r="K865" s="292">
        <v>0</v>
      </c>
      <c r="L865" s="292">
        <v>2372981</v>
      </c>
    </row>
    <row r="866" spans="1:12" ht="30.75" x14ac:dyDescent="0.25">
      <c r="A866" s="83" t="s">
        <v>417</v>
      </c>
      <c r="B866" s="213" t="s">
        <v>72</v>
      </c>
      <c r="C866" s="213" t="s">
        <v>13</v>
      </c>
      <c r="D866" s="83">
        <v>11</v>
      </c>
      <c r="E866" s="280">
        <v>44841220</v>
      </c>
      <c r="F866" s="280">
        <v>44841220</v>
      </c>
      <c r="G866" s="191" t="s">
        <v>140</v>
      </c>
      <c r="H866" s="292">
        <v>0</v>
      </c>
      <c r="I866" s="292">
        <v>4763751</v>
      </c>
      <c r="J866" s="292">
        <v>4753555</v>
      </c>
      <c r="K866" s="292">
        <v>10196</v>
      </c>
      <c r="L866" s="292">
        <v>-10196</v>
      </c>
    </row>
    <row r="867" spans="1:12" ht="30.75" x14ac:dyDescent="0.25">
      <c r="A867" s="83" t="s">
        <v>417</v>
      </c>
      <c r="B867" s="213" t="s">
        <v>541</v>
      </c>
      <c r="C867" s="213" t="s">
        <v>17</v>
      </c>
      <c r="D867" s="83">
        <v>295</v>
      </c>
      <c r="E867" s="280">
        <v>113120944</v>
      </c>
      <c r="F867" s="280">
        <v>113117899</v>
      </c>
      <c r="G867" s="191" t="s">
        <v>140</v>
      </c>
      <c r="H867" s="292">
        <v>3045</v>
      </c>
      <c r="I867" s="292">
        <v>0</v>
      </c>
      <c r="J867" s="292">
        <v>0</v>
      </c>
      <c r="K867" s="292">
        <v>0</v>
      </c>
      <c r="L867" s="292">
        <v>3045</v>
      </c>
    </row>
    <row r="868" spans="1:12" x14ac:dyDescent="0.25">
      <c r="A868" s="83" t="s">
        <v>417</v>
      </c>
      <c r="B868" s="213" t="s">
        <v>338</v>
      </c>
      <c r="C868" s="213" t="s">
        <v>339</v>
      </c>
      <c r="D868" s="83">
        <v>42</v>
      </c>
      <c r="E868" s="280">
        <v>11713000</v>
      </c>
      <c r="F868" s="280">
        <v>11713000</v>
      </c>
      <c r="G868" s="191" t="s">
        <v>140</v>
      </c>
      <c r="H868" s="292">
        <v>0</v>
      </c>
      <c r="I868" s="292">
        <v>1237169</v>
      </c>
      <c r="J868" s="292">
        <v>1236569</v>
      </c>
      <c r="K868" s="292">
        <v>600</v>
      </c>
      <c r="L868" s="292">
        <v>-600</v>
      </c>
    </row>
    <row r="869" spans="1:12" x14ac:dyDescent="0.25">
      <c r="A869" s="83" t="s">
        <v>417</v>
      </c>
      <c r="B869" s="213" t="s">
        <v>461</v>
      </c>
      <c r="C869" s="213" t="s">
        <v>25</v>
      </c>
      <c r="D869" s="83">
        <v>244</v>
      </c>
      <c r="E869" s="280">
        <v>860408</v>
      </c>
      <c r="F869" s="280">
        <v>860408</v>
      </c>
      <c r="G869" s="191" t="s">
        <v>140</v>
      </c>
      <c r="H869" s="292">
        <v>0</v>
      </c>
      <c r="I869" s="292">
        <v>3186168</v>
      </c>
      <c r="J869" s="292">
        <v>1861377</v>
      </c>
      <c r="K869" s="292">
        <v>1324791</v>
      </c>
      <c r="L869" s="292">
        <v>-1324791</v>
      </c>
    </row>
    <row r="870" spans="1:12" x14ac:dyDescent="0.25">
      <c r="A870" s="83" t="s">
        <v>417</v>
      </c>
      <c r="B870" s="213" t="s">
        <v>85</v>
      </c>
      <c r="C870" s="213" t="s">
        <v>26</v>
      </c>
      <c r="D870" s="83">
        <v>171</v>
      </c>
      <c r="E870" s="280">
        <v>2804864</v>
      </c>
      <c r="F870" s="280">
        <v>2804864</v>
      </c>
      <c r="G870" s="191" t="s">
        <v>140</v>
      </c>
      <c r="H870" s="292">
        <v>0</v>
      </c>
      <c r="I870" s="292">
        <v>484721</v>
      </c>
      <c r="J870" s="292">
        <v>484421</v>
      </c>
      <c r="K870" s="292">
        <v>300</v>
      </c>
      <c r="L870" s="292">
        <v>-300</v>
      </c>
    </row>
    <row r="871" spans="1:12" ht="15.75" customHeight="1" x14ac:dyDescent="0.25">
      <c r="A871" s="199" t="s">
        <v>421</v>
      </c>
      <c r="B871" s="214" t="s">
        <v>140</v>
      </c>
      <c r="C871" s="214" t="s">
        <v>140</v>
      </c>
      <c r="D871" s="214" t="s">
        <v>140</v>
      </c>
      <c r="E871" s="293">
        <f>SUBTOTAL(109,school199899[Program
Costs])</f>
        <v>206780256</v>
      </c>
      <c r="F871" s="293">
        <f>SUBTOTAL(109,school199899[Less: Net Payments and Offsets2])</f>
        <v>204404230</v>
      </c>
      <c r="G871" s="214" t="s">
        <v>140</v>
      </c>
      <c r="H871" s="293">
        <f>SUBTOTAL(109,school199899[Accounts Payable
Balance])</f>
        <v>2376026</v>
      </c>
      <c r="I871" s="293">
        <f>SUBTOTAL(109,school199899[Established
Accounts Receivable])</f>
        <v>9671809</v>
      </c>
      <c r="J871" s="293">
        <f>SUBTOTAL(109,school199899[Less: Recovered Amount])</f>
        <v>8335922</v>
      </c>
      <c r="K871" s="293">
        <f>SUBTOTAL(109,school199899[Accounts Receivable
Balance])</f>
        <v>1335887</v>
      </c>
      <c r="L871" s="293">
        <f>SUBTOTAL(109,school199899[Net
Balance])</f>
        <v>1040139</v>
      </c>
    </row>
    <row r="872" spans="1:12" x14ac:dyDescent="0.25">
      <c r="A872" s="195" t="s">
        <v>141</v>
      </c>
      <c r="B872" s="142"/>
      <c r="C872" s="142"/>
      <c r="D872" s="142"/>
      <c r="E872" s="26"/>
      <c r="F872" s="26"/>
      <c r="G872" s="196"/>
      <c r="H872" s="26"/>
      <c r="I872" s="26"/>
      <c r="J872" s="26"/>
      <c r="K872" s="26"/>
      <c r="L872" s="26"/>
    </row>
    <row r="873" spans="1:12" ht="50.1" customHeight="1" x14ac:dyDescent="0.25">
      <c r="A873" s="10" t="s">
        <v>5</v>
      </c>
      <c r="B873" s="10" t="s">
        <v>6</v>
      </c>
      <c r="C873" s="10" t="s">
        <v>0</v>
      </c>
      <c r="D873" s="10" t="s">
        <v>441</v>
      </c>
      <c r="E873" s="215" t="s">
        <v>234</v>
      </c>
      <c r="F873" s="216" t="s">
        <v>452</v>
      </c>
      <c r="G873" s="217" t="s">
        <v>142</v>
      </c>
      <c r="H873" s="215" t="s">
        <v>444</v>
      </c>
      <c r="I873" s="215" t="s">
        <v>445</v>
      </c>
      <c r="J873" s="215" t="s">
        <v>446</v>
      </c>
      <c r="K873" s="215" t="s">
        <v>447</v>
      </c>
      <c r="L873" s="215" t="s">
        <v>305</v>
      </c>
    </row>
    <row r="874" spans="1:12" ht="30.75" x14ac:dyDescent="0.25">
      <c r="A874" s="83" t="s">
        <v>422</v>
      </c>
      <c r="B874" s="213" t="s">
        <v>495</v>
      </c>
      <c r="C874" s="213" t="s">
        <v>490</v>
      </c>
      <c r="D874" s="83">
        <v>348</v>
      </c>
      <c r="E874" s="280">
        <v>32997398</v>
      </c>
      <c r="F874" s="280">
        <v>30671594</v>
      </c>
      <c r="G874" s="191" t="s">
        <v>140</v>
      </c>
      <c r="H874" s="292">
        <v>2325804</v>
      </c>
      <c r="I874" s="292">
        <v>0</v>
      </c>
      <c r="J874" s="292">
        <v>0</v>
      </c>
      <c r="K874" s="292">
        <v>0</v>
      </c>
      <c r="L874" s="292">
        <v>2325804</v>
      </c>
    </row>
    <row r="875" spans="1:12" ht="30.75" x14ac:dyDescent="0.25">
      <c r="A875" s="83" t="s">
        <v>422</v>
      </c>
      <c r="B875" s="213" t="s">
        <v>72</v>
      </c>
      <c r="C875" s="213" t="s">
        <v>13</v>
      </c>
      <c r="D875" s="83">
        <v>11</v>
      </c>
      <c r="E875" s="280">
        <v>36462408</v>
      </c>
      <c r="F875" s="280">
        <v>36462408</v>
      </c>
      <c r="G875" s="191" t="s">
        <v>140</v>
      </c>
      <c r="H875" s="292">
        <v>0</v>
      </c>
      <c r="I875" s="292">
        <v>6956351</v>
      </c>
      <c r="J875" s="292">
        <v>6947061</v>
      </c>
      <c r="K875" s="292">
        <v>9290</v>
      </c>
      <c r="L875" s="292">
        <v>-9290</v>
      </c>
    </row>
    <row r="876" spans="1:12" ht="30.75" x14ac:dyDescent="0.25">
      <c r="A876" s="83" t="s">
        <v>422</v>
      </c>
      <c r="B876" s="213" t="s">
        <v>545</v>
      </c>
      <c r="C876" s="213" t="s">
        <v>535</v>
      </c>
      <c r="D876" s="83">
        <v>75</v>
      </c>
      <c r="E876" s="280">
        <v>21038713</v>
      </c>
      <c r="F876" s="280">
        <v>21038713</v>
      </c>
      <c r="G876" s="191" t="s">
        <v>140</v>
      </c>
      <c r="H876" s="292">
        <v>0</v>
      </c>
      <c r="I876" s="292">
        <v>1479796</v>
      </c>
      <c r="J876" s="292">
        <v>1479331</v>
      </c>
      <c r="K876" s="292">
        <v>465</v>
      </c>
      <c r="L876" s="292">
        <v>-465</v>
      </c>
    </row>
    <row r="877" spans="1:12" x14ac:dyDescent="0.25">
      <c r="A877" s="83" t="s">
        <v>422</v>
      </c>
      <c r="B877" s="213" t="s">
        <v>475</v>
      </c>
      <c r="C877" s="213" t="s">
        <v>476</v>
      </c>
      <c r="D877" s="83">
        <v>148</v>
      </c>
      <c r="E877" s="280">
        <v>1779879</v>
      </c>
      <c r="F877" s="280">
        <v>1779879</v>
      </c>
      <c r="G877" s="191" t="s">
        <v>140</v>
      </c>
      <c r="H877" s="292">
        <v>0</v>
      </c>
      <c r="I877" s="292">
        <v>249145</v>
      </c>
      <c r="J877" s="292">
        <v>248887</v>
      </c>
      <c r="K877" s="292">
        <v>258</v>
      </c>
      <c r="L877" s="292">
        <v>-258</v>
      </c>
    </row>
    <row r="878" spans="1:12" ht="30.75" customHeight="1" x14ac:dyDescent="0.25">
      <c r="A878" s="83" t="s">
        <v>422</v>
      </c>
      <c r="B878" s="213" t="s">
        <v>556</v>
      </c>
      <c r="C878" s="213" t="s">
        <v>476</v>
      </c>
      <c r="D878" s="83">
        <v>149</v>
      </c>
      <c r="E878" s="280">
        <v>1091525</v>
      </c>
      <c r="F878" s="280">
        <v>1091525</v>
      </c>
      <c r="G878" s="191" t="s">
        <v>140</v>
      </c>
      <c r="H878" s="292">
        <v>0</v>
      </c>
      <c r="I878" s="292">
        <v>437671</v>
      </c>
      <c r="J878" s="292">
        <v>436936</v>
      </c>
      <c r="K878" s="292">
        <v>735</v>
      </c>
      <c r="L878" s="292">
        <v>-735</v>
      </c>
    </row>
    <row r="879" spans="1:12" x14ac:dyDescent="0.25">
      <c r="A879" s="83" t="s">
        <v>422</v>
      </c>
      <c r="B879" s="213" t="s">
        <v>418</v>
      </c>
      <c r="C879" s="213" t="s">
        <v>327</v>
      </c>
      <c r="D879" s="83">
        <v>92</v>
      </c>
      <c r="E879" s="280">
        <v>3396990</v>
      </c>
      <c r="F879" s="280">
        <v>3396990</v>
      </c>
      <c r="G879" s="191" t="s">
        <v>140</v>
      </c>
      <c r="H879" s="292">
        <v>0</v>
      </c>
      <c r="I879" s="292">
        <v>223087</v>
      </c>
      <c r="J879" s="292">
        <v>220400</v>
      </c>
      <c r="K879" s="292">
        <v>2687</v>
      </c>
      <c r="L879" s="292">
        <v>-2687</v>
      </c>
    </row>
    <row r="880" spans="1:12" ht="15.75" customHeight="1" x14ac:dyDescent="0.25">
      <c r="A880" s="199" t="s">
        <v>423</v>
      </c>
      <c r="B880" s="214" t="s">
        <v>140</v>
      </c>
      <c r="C880" s="214" t="s">
        <v>140</v>
      </c>
      <c r="D880" s="214" t="s">
        <v>140</v>
      </c>
      <c r="E880" s="293">
        <f>SUBTOTAL(109,school199798[Program
Costs])</f>
        <v>96766913</v>
      </c>
      <c r="F880" s="293">
        <f>SUBTOTAL(109,school199798[Less: Net Payments and Offsets2])</f>
        <v>94441109</v>
      </c>
      <c r="G880" s="214" t="s">
        <v>140</v>
      </c>
      <c r="H880" s="293">
        <f>SUBTOTAL(109,school199798[Accounts Payable
Balance])</f>
        <v>2325804</v>
      </c>
      <c r="I880" s="293">
        <f>SUBTOTAL(109,school199798[Established
Accounts Receivable])</f>
        <v>9346050</v>
      </c>
      <c r="J880" s="293">
        <f>SUBTOTAL(109,school199798[Less: Recovered Amount])</f>
        <v>9332615</v>
      </c>
      <c r="K880" s="293">
        <f>SUBTOTAL(109,school199798[Accounts Receivable
Balance])</f>
        <v>13435</v>
      </c>
      <c r="L880" s="293">
        <f>SUBTOTAL(109,school199798[Net
Balance])</f>
        <v>2312369</v>
      </c>
    </row>
    <row r="881" spans="1:12" x14ac:dyDescent="0.25">
      <c r="A881" s="195" t="s">
        <v>141</v>
      </c>
      <c r="B881" s="142"/>
      <c r="C881" s="142"/>
      <c r="D881" s="142"/>
      <c r="E881" s="26"/>
      <c r="F881" s="26"/>
      <c r="G881" s="196"/>
      <c r="H881" s="26"/>
      <c r="I881" s="26"/>
      <c r="J881" s="26"/>
      <c r="K881" s="26"/>
      <c r="L881" s="26"/>
    </row>
    <row r="882" spans="1:12" ht="50.1" customHeight="1" x14ac:dyDescent="0.25">
      <c r="A882" s="10" t="s">
        <v>5</v>
      </c>
      <c r="B882" s="10" t="s">
        <v>6</v>
      </c>
      <c r="C882" s="10" t="s">
        <v>0</v>
      </c>
      <c r="D882" s="10" t="s">
        <v>441</v>
      </c>
      <c r="E882" s="215" t="s">
        <v>234</v>
      </c>
      <c r="F882" s="216" t="s">
        <v>452</v>
      </c>
      <c r="G882" s="217" t="s">
        <v>142</v>
      </c>
      <c r="H882" s="215" t="s">
        <v>444</v>
      </c>
      <c r="I882" s="215" t="s">
        <v>445</v>
      </c>
      <c r="J882" s="215" t="s">
        <v>446</v>
      </c>
      <c r="K882" s="215" t="s">
        <v>447</v>
      </c>
      <c r="L882" s="215" t="s">
        <v>305</v>
      </c>
    </row>
    <row r="883" spans="1:12" ht="30.75" x14ac:dyDescent="0.25">
      <c r="A883" s="83" t="s">
        <v>424</v>
      </c>
      <c r="B883" s="213" t="s">
        <v>495</v>
      </c>
      <c r="C883" s="213" t="s">
        <v>490</v>
      </c>
      <c r="D883" s="83">
        <v>348</v>
      </c>
      <c r="E883" s="280">
        <v>31728592</v>
      </c>
      <c r="F883" s="280">
        <v>29479003</v>
      </c>
      <c r="G883" s="191" t="s">
        <v>140</v>
      </c>
      <c r="H883" s="292">
        <v>2249589</v>
      </c>
      <c r="I883" s="292">
        <v>0</v>
      </c>
      <c r="J883" s="292">
        <v>0</v>
      </c>
      <c r="K883" s="292">
        <v>0</v>
      </c>
      <c r="L883" s="292">
        <v>2249589</v>
      </c>
    </row>
    <row r="884" spans="1:12" ht="30.75" x14ac:dyDescent="0.25">
      <c r="A884" s="83" t="s">
        <v>424</v>
      </c>
      <c r="B884" s="213" t="s">
        <v>72</v>
      </c>
      <c r="C884" s="213" t="s">
        <v>13</v>
      </c>
      <c r="D884" s="83">
        <v>11</v>
      </c>
      <c r="E884" s="280">
        <v>35731370</v>
      </c>
      <c r="F884" s="280">
        <v>35731370</v>
      </c>
      <c r="G884" s="191" t="s">
        <v>140</v>
      </c>
      <c r="H884" s="292">
        <v>0</v>
      </c>
      <c r="I884" s="292">
        <v>8222200</v>
      </c>
      <c r="J884" s="292">
        <v>8207235</v>
      </c>
      <c r="K884" s="292">
        <v>14965</v>
      </c>
      <c r="L884" s="292">
        <v>-14965</v>
      </c>
    </row>
    <row r="885" spans="1:12" x14ac:dyDescent="0.25">
      <c r="A885" s="83" t="s">
        <v>424</v>
      </c>
      <c r="B885" s="213" t="s">
        <v>418</v>
      </c>
      <c r="C885" s="213" t="s">
        <v>327</v>
      </c>
      <c r="D885" s="83">
        <v>92</v>
      </c>
      <c r="E885" s="280">
        <v>2713598</v>
      </c>
      <c r="F885" s="280">
        <v>2713598</v>
      </c>
      <c r="G885" s="191" t="s">
        <v>140</v>
      </c>
      <c r="H885" s="292">
        <v>0</v>
      </c>
      <c r="I885" s="292">
        <v>217201</v>
      </c>
      <c r="J885" s="292">
        <v>217050</v>
      </c>
      <c r="K885" s="292">
        <v>151</v>
      </c>
      <c r="L885" s="292">
        <v>-151</v>
      </c>
    </row>
    <row r="886" spans="1:12" ht="30.75" x14ac:dyDescent="0.25">
      <c r="A886" s="83" t="s">
        <v>424</v>
      </c>
      <c r="B886" s="213" t="s">
        <v>547</v>
      </c>
      <c r="C886" s="213" t="s">
        <v>548</v>
      </c>
      <c r="D886" s="83">
        <v>156</v>
      </c>
      <c r="E886" s="280">
        <v>5772216</v>
      </c>
      <c r="F886" s="280">
        <v>5772216</v>
      </c>
      <c r="G886" s="191" t="s">
        <v>140</v>
      </c>
      <c r="H886" s="292">
        <v>0</v>
      </c>
      <c r="I886" s="292">
        <v>136699</v>
      </c>
      <c r="J886" s="292">
        <v>136651</v>
      </c>
      <c r="K886" s="292">
        <v>48</v>
      </c>
      <c r="L886" s="292">
        <v>-48</v>
      </c>
    </row>
    <row r="887" spans="1:12" x14ac:dyDescent="0.25">
      <c r="A887" s="83" t="s">
        <v>424</v>
      </c>
      <c r="B887" s="213" t="s">
        <v>509</v>
      </c>
      <c r="C887" s="213" t="s">
        <v>510</v>
      </c>
      <c r="D887" s="83">
        <v>58</v>
      </c>
      <c r="E887" s="280">
        <v>2051761</v>
      </c>
      <c r="F887" s="280">
        <v>2051761</v>
      </c>
      <c r="G887" s="191" t="s">
        <v>140</v>
      </c>
      <c r="H887" s="292">
        <v>0</v>
      </c>
      <c r="I887" s="292">
        <v>64789</v>
      </c>
      <c r="J887" s="292">
        <v>64485</v>
      </c>
      <c r="K887" s="292">
        <v>304</v>
      </c>
      <c r="L887" s="292">
        <v>-304</v>
      </c>
    </row>
    <row r="888" spans="1:12" ht="15.75" customHeight="1" x14ac:dyDescent="0.25">
      <c r="A888" s="199" t="s">
        <v>425</v>
      </c>
      <c r="B888" s="214" t="s">
        <v>140</v>
      </c>
      <c r="C888" s="214" t="s">
        <v>140</v>
      </c>
      <c r="D888" s="214" t="s">
        <v>140</v>
      </c>
      <c r="E888" s="293">
        <f>SUBTOTAL(109,school199697[Program
Costs])</f>
        <v>77997537</v>
      </c>
      <c r="F888" s="293">
        <f>SUBTOTAL(109,school199697[Less: Net Payments and Offsets2])</f>
        <v>75747948</v>
      </c>
      <c r="G888" s="214" t="s">
        <v>140</v>
      </c>
      <c r="H888" s="293">
        <f>SUBTOTAL(109,school199697[Accounts Payable
Balance])</f>
        <v>2249589</v>
      </c>
      <c r="I888" s="293">
        <f>SUBTOTAL(109,school199697[Established
Accounts Receivable])</f>
        <v>8640889</v>
      </c>
      <c r="J888" s="293">
        <f>SUBTOTAL(109,school199697[Less: Recovered Amount])</f>
        <v>8625421</v>
      </c>
      <c r="K888" s="293">
        <f>SUBTOTAL(109,school199697[Accounts Receivable
Balance])</f>
        <v>15468</v>
      </c>
      <c r="L888" s="293">
        <f>SUBTOTAL(109,school199697[Net
Balance])</f>
        <v>2234121</v>
      </c>
    </row>
    <row r="889" spans="1:12" x14ac:dyDescent="0.25">
      <c r="A889" s="195" t="s">
        <v>141</v>
      </c>
      <c r="B889" s="142"/>
      <c r="C889" s="142"/>
      <c r="D889" s="142"/>
      <c r="E889" s="26"/>
      <c r="F889" s="26"/>
      <c r="G889" s="196"/>
      <c r="H889" s="26"/>
      <c r="I889" s="26"/>
      <c r="J889" s="26"/>
      <c r="K889" s="26"/>
      <c r="L889" s="26"/>
    </row>
    <row r="890" spans="1:12" ht="50.1" customHeight="1" x14ac:dyDescent="0.25">
      <c r="A890" s="10" t="s">
        <v>5</v>
      </c>
      <c r="B890" s="10" t="s">
        <v>6</v>
      </c>
      <c r="C890" s="10" t="s">
        <v>0</v>
      </c>
      <c r="D890" s="10" t="s">
        <v>441</v>
      </c>
      <c r="E890" s="215" t="s">
        <v>234</v>
      </c>
      <c r="F890" s="216" t="s">
        <v>452</v>
      </c>
      <c r="G890" s="217" t="s">
        <v>142</v>
      </c>
      <c r="H890" s="215" t="s">
        <v>444</v>
      </c>
      <c r="I890" s="215" t="s">
        <v>445</v>
      </c>
      <c r="J890" s="215" t="s">
        <v>446</v>
      </c>
      <c r="K890" s="215" t="s">
        <v>447</v>
      </c>
      <c r="L890" s="215" t="s">
        <v>305</v>
      </c>
    </row>
    <row r="891" spans="1:12" x14ac:dyDescent="0.25">
      <c r="A891" s="83" t="s">
        <v>426</v>
      </c>
      <c r="B891" s="213" t="s">
        <v>543</v>
      </c>
      <c r="C891" s="213" t="s">
        <v>7</v>
      </c>
      <c r="D891" s="83">
        <v>123</v>
      </c>
      <c r="E891" s="280">
        <v>2063016</v>
      </c>
      <c r="F891" s="280">
        <v>2063016</v>
      </c>
      <c r="G891" s="191" t="s">
        <v>140</v>
      </c>
      <c r="H891" s="292">
        <v>0</v>
      </c>
      <c r="I891" s="292">
        <v>691837</v>
      </c>
      <c r="J891" s="292">
        <v>691774</v>
      </c>
      <c r="K891" s="292">
        <v>63</v>
      </c>
      <c r="L891" s="292">
        <v>-63</v>
      </c>
    </row>
    <row r="892" spans="1:12" ht="30.75" x14ac:dyDescent="0.25">
      <c r="A892" s="83" t="s">
        <v>426</v>
      </c>
      <c r="B892" s="213" t="s">
        <v>495</v>
      </c>
      <c r="C892" s="213" t="s">
        <v>490</v>
      </c>
      <c r="D892" s="83">
        <v>348</v>
      </c>
      <c r="E892" s="280">
        <v>30064772</v>
      </c>
      <c r="F892" s="280">
        <v>27948374</v>
      </c>
      <c r="G892" s="191" t="s">
        <v>140</v>
      </c>
      <c r="H892" s="292">
        <v>2116398</v>
      </c>
      <c r="I892" s="292">
        <v>0</v>
      </c>
      <c r="J892" s="292">
        <v>0</v>
      </c>
      <c r="K892" s="292">
        <v>0</v>
      </c>
      <c r="L892" s="292">
        <v>2116398</v>
      </c>
    </row>
    <row r="893" spans="1:12" ht="30.75" x14ac:dyDescent="0.25">
      <c r="A893" s="83" t="s">
        <v>426</v>
      </c>
      <c r="B893" s="213" t="s">
        <v>72</v>
      </c>
      <c r="C893" s="213" t="s">
        <v>13</v>
      </c>
      <c r="D893" s="83">
        <v>11</v>
      </c>
      <c r="E893" s="280">
        <v>31593705</v>
      </c>
      <c r="F893" s="280">
        <v>31593705</v>
      </c>
      <c r="G893" s="191" t="s">
        <v>140</v>
      </c>
      <c r="H893" s="292">
        <v>0</v>
      </c>
      <c r="I893" s="292">
        <v>9201086</v>
      </c>
      <c r="J893" s="292">
        <v>9191407</v>
      </c>
      <c r="K893" s="292">
        <v>9679</v>
      </c>
      <c r="L893" s="292">
        <v>-9679</v>
      </c>
    </row>
    <row r="894" spans="1:12" x14ac:dyDescent="0.25">
      <c r="A894" s="83" t="s">
        <v>426</v>
      </c>
      <c r="B894" s="213" t="s">
        <v>557</v>
      </c>
      <c r="C894" s="213" t="s">
        <v>558</v>
      </c>
      <c r="D894" s="83">
        <v>79</v>
      </c>
      <c r="E894" s="280">
        <v>2929406</v>
      </c>
      <c r="F894" s="280">
        <v>2929406</v>
      </c>
      <c r="G894" s="191" t="s">
        <v>140</v>
      </c>
      <c r="H894" s="292">
        <v>0</v>
      </c>
      <c r="I894" s="292">
        <v>60858</v>
      </c>
      <c r="J894" s="292">
        <v>60790</v>
      </c>
      <c r="K894" s="292">
        <v>68</v>
      </c>
      <c r="L894" s="292">
        <v>-68</v>
      </c>
    </row>
    <row r="895" spans="1:12" ht="30.75" x14ac:dyDescent="0.25">
      <c r="A895" s="83" t="s">
        <v>426</v>
      </c>
      <c r="B895" s="213" t="s">
        <v>545</v>
      </c>
      <c r="C895" s="213" t="s">
        <v>535</v>
      </c>
      <c r="D895" s="83">
        <v>75</v>
      </c>
      <c r="E895" s="280">
        <v>7354211</v>
      </c>
      <c r="F895" s="280">
        <v>7354211</v>
      </c>
      <c r="G895" s="191" t="s">
        <v>140</v>
      </c>
      <c r="H895" s="292">
        <v>0</v>
      </c>
      <c r="I895" s="292">
        <v>62469</v>
      </c>
      <c r="J895" s="292">
        <v>62179</v>
      </c>
      <c r="K895" s="292">
        <v>290</v>
      </c>
      <c r="L895" s="292">
        <v>-290</v>
      </c>
    </row>
    <row r="896" spans="1:12" x14ac:dyDescent="0.25">
      <c r="A896" s="83" t="s">
        <v>426</v>
      </c>
      <c r="B896" s="213" t="s">
        <v>418</v>
      </c>
      <c r="C896" s="213" t="s">
        <v>327</v>
      </c>
      <c r="D896" s="83">
        <v>92</v>
      </c>
      <c r="E896" s="280">
        <v>1774560</v>
      </c>
      <c r="F896" s="280">
        <v>1774560</v>
      </c>
      <c r="G896" s="191" t="s">
        <v>140</v>
      </c>
      <c r="H896" s="292">
        <v>0</v>
      </c>
      <c r="I896" s="292">
        <v>208523</v>
      </c>
      <c r="J896" s="292">
        <v>208225</v>
      </c>
      <c r="K896" s="292">
        <v>298</v>
      </c>
      <c r="L896" s="292">
        <v>-298</v>
      </c>
    </row>
    <row r="897" spans="1:12" ht="30.75" x14ac:dyDescent="0.25">
      <c r="A897" s="83" t="s">
        <v>426</v>
      </c>
      <c r="B897" s="213" t="s">
        <v>547</v>
      </c>
      <c r="C897" s="213" t="s">
        <v>548</v>
      </c>
      <c r="D897" s="83">
        <v>156</v>
      </c>
      <c r="E897" s="280">
        <v>4726009</v>
      </c>
      <c r="F897" s="280">
        <v>4726009</v>
      </c>
      <c r="G897" s="191" t="s">
        <v>140</v>
      </c>
      <c r="H897" s="292">
        <v>0</v>
      </c>
      <c r="I897" s="292">
        <v>86368</v>
      </c>
      <c r="J897" s="292">
        <v>86324</v>
      </c>
      <c r="K897" s="292">
        <v>44</v>
      </c>
      <c r="L897" s="292">
        <v>-44</v>
      </c>
    </row>
    <row r="898" spans="1:12" x14ac:dyDescent="0.25">
      <c r="A898" s="83" t="s">
        <v>426</v>
      </c>
      <c r="B898" s="213" t="s">
        <v>559</v>
      </c>
      <c r="C898" s="213" t="s">
        <v>560</v>
      </c>
      <c r="D898" s="83">
        <v>115</v>
      </c>
      <c r="E898" s="280">
        <v>562926</v>
      </c>
      <c r="F898" s="280">
        <v>562926</v>
      </c>
      <c r="G898" s="191" t="s">
        <v>140</v>
      </c>
      <c r="H898" s="292">
        <v>0</v>
      </c>
      <c r="I898" s="292">
        <v>219834</v>
      </c>
      <c r="J898" s="292">
        <v>219565</v>
      </c>
      <c r="K898" s="292">
        <v>269</v>
      </c>
      <c r="L898" s="292">
        <v>-269</v>
      </c>
    </row>
    <row r="899" spans="1:12" ht="15.75" customHeight="1" x14ac:dyDescent="0.25">
      <c r="A899" s="199" t="s">
        <v>427</v>
      </c>
      <c r="B899" s="214" t="s">
        <v>140</v>
      </c>
      <c r="C899" s="214" t="s">
        <v>140</v>
      </c>
      <c r="D899" s="214" t="s">
        <v>140</v>
      </c>
      <c r="E899" s="293">
        <f>SUBTOTAL(109,school199596[Program
Costs])</f>
        <v>81068605</v>
      </c>
      <c r="F899" s="293">
        <f>SUBTOTAL(109,school199596[Less: Net Payments and Offsets2])</f>
        <v>78952207</v>
      </c>
      <c r="G899" s="214" t="s">
        <v>140</v>
      </c>
      <c r="H899" s="293">
        <f>SUBTOTAL(109,school199596[Accounts Payable
Balance])</f>
        <v>2116398</v>
      </c>
      <c r="I899" s="293">
        <f>SUBTOTAL(109,school199596[Established
Accounts Receivable])</f>
        <v>10530975</v>
      </c>
      <c r="J899" s="293">
        <f>SUBTOTAL(109,school199596[Less: Recovered Amount])</f>
        <v>10520264</v>
      </c>
      <c r="K899" s="293">
        <f>SUBTOTAL(109,school199596[Accounts Receivable
Balance])</f>
        <v>10711</v>
      </c>
      <c r="L899" s="293">
        <f>SUBTOTAL(109,school199596[Net
Balance])</f>
        <v>2105687</v>
      </c>
    </row>
    <row r="900" spans="1:12" x14ac:dyDescent="0.25">
      <c r="A900" s="195" t="s">
        <v>141</v>
      </c>
      <c r="B900" s="142"/>
      <c r="C900" s="142"/>
      <c r="D900" s="142"/>
      <c r="E900" s="26"/>
      <c r="F900" s="26"/>
      <c r="G900" s="196"/>
      <c r="H900" s="26"/>
      <c r="I900" s="26"/>
      <c r="J900" s="26"/>
      <c r="K900" s="26"/>
      <c r="L900" s="26"/>
    </row>
    <row r="901" spans="1:12" ht="50.1" customHeight="1" x14ac:dyDescent="0.25">
      <c r="A901" s="10" t="s">
        <v>5</v>
      </c>
      <c r="B901" s="10" t="s">
        <v>6</v>
      </c>
      <c r="C901" s="10" t="s">
        <v>0</v>
      </c>
      <c r="D901" s="10" t="s">
        <v>441</v>
      </c>
      <c r="E901" s="215" t="s">
        <v>234</v>
      </c>
      <c r="F901" s="216" t="s">
        <v>452</v>
      </c>
      <c r="G901" s="217" t="s">
        <v>142</v>
      </c>
      <c r="H901" s="215" t="s">
        <v>444</v>
      </c>
      <c r="I901" s="215" t="s">
        <v>445</v>
      </c>
      <c r="J901" s="215" t="s">
        <v>446</v>
      </c>
      <c r="K901" s="215" t="s">
        <v>447</v>
      </c>
      <c r="L901" s="215" t="s">
        <v>305</v>
      </c>
    </row>
    <row r="902" spans="1:12" ht="30.75" x14ac:dyDescent="0.25">
      <c r="A902" s="83" t="s">
        <v>428</v>
      </c>
      <c r="B902" s="213" t="s">
        <v>495</v>
      </c>
      <c r="C902" s="213" t="s">
        <v>490</v>
      </c>
      <c r="D902" s="83">
        <v>348</v>
      </c>
      <c r="E902" s="280">
        <v>28400653</v>
      </c>
      <c r="F902" s="280">
        <v>26404035</v>
      </c>
      <c r="G902" s="191" t="s">
        <v>140</v>
      </c>
      <c r="H902" s="292">
        <v>1996618</v>
      </c>
      <c r="I902" s="292">
        <v>0</v>
      </c>
      <c r="J902" s="292">
        <v>0</v>
      </c>
      <c r="K902" s="292">
        <v>0</v>
      </c>
      <c r="L902" s="292">
        <v>1996618</v>
      </c>
    </row>
    <row r="903" spans="1:12" x14ac:dyDescent="0.25">
      <c r="A903" s="83" t="s">
        <v>428</v>
      </c>
      <c r="B903" s="213" t="s">
        <v>418</v>
      </c>
      <c r="C903" s="213" t="s">
        <v>327</v>
      </c>
      <c r="D903" s="83">
        <v>92</v>
      </c>
      <c r="E903" s="280">
        <v>1128612</v>
      </c>
      <c r="F903" s="280">
        <v>1128612</v>
      </c>
      <c r="G903" s="191" t="s">
        <v>140</v>
      </c>
      <c r="H903" s="292">
        <v>0</v>
      </c>
      <c r="I903" s="292">
        <v>2880</v>
      </c>
      <c r="J903" s="292">
        <v>2634</v>
      </c>
      <c r="K903" s="292">
        <v>246</v>
      </c>
      <c r="L903" s="292">
        <v>-246</v>
      </c>
    </row>
    <row r="904" spans="1:12" x14ac:dyDescent="0.25">
      <c r="A904" s="83" t="s">
        <v>428</v>
      </c>
      <c r="B904" s="213" t="s">
        <v>528</v>
      </c>
      <c r="C904" s="213" t="s">
        <v>529</v>
      </c>
      <c r="D904" s="83">
        <v>151</v>
      </c>
      <c r="E904" s="280">
        <v>544631</v>
      </c>
      <c r="F904" s="280">
        <v>544631</v>
      </c>
      <c r="G904" s="191" t="s">
        <v>140</v>
      </c>
      <c r="H904" s="292">
        <v>0</v>
      </c>
      <c r="I904" s="292">
        <v>3055</v>
      </c>
      <c r="J904" s="292">
        <v>2643</v>
      </c>
      <c r="K904" s="292">
        <v>412</v>
      </c>
      <c r="L904" s="292">
        <v>-412</v>
      </c>
    </row>
    <row r="905" spans="1:12" ht="30.75" x14ac:dyDescent="0.25">
      <c r="A905" s="83" t="s">
        <v>428</v>
      </c>
      <c r="B905" s="213" t="s">
        <v>547</v>
      </c>
      <c r="C905" s="213" t="s">
        <v>548</v>
      </c>
      <c r="D905" s="83">
        <v>156</v>
      </c>
      <c r="E905" s="280">
        <v>4230530</v>
      </c>
      <c r="F905" s="280">
        <v>4230530</v>
      </c>
      <c r="G905" s="191" t="s">
        <v>140</v>
      </c>
      <c r="H905" s="292">
        <v>0</v>
      </c>
      <c r="I905" s="292">
        <v>73525</v>
      </c>
      <c r="J905" s="292">
        <v>73477</v>
      </c>
      <c r="K905" s="292">
        <v>48</v>
      </c>
      <c r="L905" s="292">
        <v>-48</v>
      </c>
    </row>
    <row r="906" spans="1:12" ht="15.75" customHeight="1" x14ac:dyDescent="0.25">
      <c r="A906" s="199" t="s">
        <v>429</v>
      </c>
      <c r="B906" s="214" t="s">
        <v>140</v>
      </c>
      <c r="C906" s="214" t="s">
        <v>140</v>
      </c>
      <c r="D906" s="214" t="s">
        <v>140</v>
      </c>
      <c r="E906" s="293">
        <f>SUBTOTAL(109,school199495[Program
Costs])</f>
        <v>34304426</v>
      </c>
      <c r="F906" s="293">
        <f>SUBTOTAL(109,school199495[Less: Net Payments and Offsets2])</f>
        <v>32307808</v>
      </c>
      <c r="G906" s="214" t="s">
        <v>140</v>
      </c>
      <c r="H906" s="293">
        <f>SUBTOTAL(109,school199495[Accounts Payable
Balance])</f>
        <v>1996618</v>
      </c>
      <c r="I906" s="293">
        <f>SUBTOTAL(109,school199495[Established
Accounts Receivable])</f>
        <v>79460</v>
      </c>
      <c r="J906" s="293">
        <f>SUBTOTAL(109,school199495[Less: Recovered Amount])</f>
        <v>78754</v>
      </c>
      <c r="K906" s="293">
        <f>SUBTOTAL(109,school199495[Accounts Receivable
Balance])</f>
        <v>706</v>
      </c>
      <c r="L906" s="293">
        <f>SUBTOTAL(109,school199495[Net
Balance])</f>
        <v>1995912</v>
      </c>
    </row>
    <row r="907" spans="1:12" x14ac:dyDescent="0.25">
      <c r="A907" s="195" t="s">
        <v>141</v>
      </c>
      <c r="B907" s="142"/>
      <c r="C907" s="142"/>
      <c r="D907" s="142"/>
      <c r="E907" s="26"/>
      <c r="F907" s="26"/>
      <c r="G907" s="196"/>
      <c r="H907" s="26"/>
      <c r="I907" s="26"/>
      <c r="J907" s="26"/>
      <c r="K907" s="26"/>
      <c r="L907" s="26"/>
    </row>
    <row r="908" spans="1:12" ht="50.1" customHeight="1" x14ac:dyDescent="0.25">
      <c r="A908" s="10" t="s">
        <v>5</v>
      </c>
      <c r="B908" s="10" t="s">
        <v>6</v>
      </c>
      <c r="C908" s="10" t="s">
        <v>0</v>
      </c>
      <c r="D908" s="10" t="s">
        <v>441</v>
      </c>
      <c r="E908" s="215" t="s">
        <v>234</v>
      </c>
      <c r="F908" s="216" t="s">
        <v>561</v>
      </c>
      <c r="G908" s="217" t="s">
        <v>142</v>
      </c>
      <c r="H908" s="215" t="s">
        <v>444</v>
      </c>
      <c r="I908" s="215" t="s">
        <v>445</v>
      </c>
      <c r="J908" s="215" t="s">
        <v>446</v>
      </c>
      <c r="K908" s="215" t="s">
        <v>447</v>
      </c>
      <c r="L908" s="215" t="s">
        <v>305</v>
      </c>
    </row>
    <row r="909" spans="1:12" ht="30.75" x14ac:dyDescent="0.25">
      <c r="A909" s="83" t="s">
        <v>562</v>
      </c>
      <c r="B909" s="213" t="s">
        <v>495</v>
      </c>
      <c r="C909" s="213" t="s">
        <v>490</v>
      </c>
      <c r="D909" s="83">
        <v>348</v>
      </c>
      <c r="E909" s="280">
        <v>27596496</v>
      </c>
      <c r="F909" s="280">
        <v>25255912</v>
      </c>
      <c r="G909" s="191" t="s">
        <v>140</v>
      </c>
      <c r="H909" s="292">
        <v>2340584</v>
      </c>
      <c r="I909" s="292">
        <v>0</v>
      </c>
      <c r="J909" s="292">
        <v>0</v>
      </c>
      <c r="K909" s="292">
        <v>0</v>
      </c>
      <c r="L909" s="292">
        <v>2340584</v>
      </c>
    </row>
    <row r="910" spans="1:12" ht="30.75" x14ac:dyDescent="0.25">
      <c r="A910" s="83" t="s">
        <v>562</v>
      </c>
      <c r="B910" s="213" t="s">
        <v>72</v>
      </c>
      <c r="C910" s="213" t="s">
        <v>13</v>
      </c>
      <c r="D910" s="83">
        <v>11</v>
      </c>
      <c r="E910" s="280">
        <v>29969495</v>
      </c>
      <c r="F910" s="280">
        <v>29969495</v>
      </c>
      <c r="G910" s="191" t="s">
        <v>140</v>
      </c>
      <c r="H910" s="292">
        <v>0</v>
      </c>
      <c r="I910" s="292">
        <v>3859762</v>
      </c>
      <c r="J910" s="292">
        <v>3792203</v>
      </c>
      <c r="K910" s="292">
        <v>67559</v>
      </c>
      <c r="L910" s="292">
        <v>-67559</v>
      </c>
    </row>
    <row r="911" spans="1:12" x14ac:dyDescent="0.25">
      <c r="A911" s="83" t="s">
        <v>562</v>
      </c>
      <c r="B911" s="213" t="s">
        <v>418</v>
      </c>
      <c r="C911" s="213" t="s">
        <v>327</v>
      </c>
      <c r="D911" s="83">
        <v>92</v>
      </c>
      <c r="E911" s="280">
        <v>748308</v>
      </c>
      <c r="F911" s="280">
        <v>748308</v>
      </c>
      <c r="G911" s="191" t="s">
        <v>140</v>
      </c>
      <c r="H911" s="292">
        <v>0</v>
      </c>
      <c r="I911" s="292">
        <v>551</v>
      </c>
      <c r="J911" s="292">
        <v>0</v>
      </c>
      <c r="K911" s="292">
        <v>551</v>
      </c>
      <c r="L911" s="292">
        <v>-551</v>
      </c>
    </row>
    <row r="912" spans="1:12" ht="30.75" x14ac:dyDescent="0.25">
      <c r="A912" s="83" t="s">
        <v>562</v>
      </c>
      <c r="B912" s="213" t="s">
        <v>547</v>
      </c>
      <c r="C912" s="213" t="s">
        <v>548</v>
      </c>
      <c r="D912" s="83">
        <v>156</v>
      </c>
      <c r="E912" s="280">
        <v>2184496</v>
      </c>
      <c r="F912" s="280">
        <v>2184496</v>
      </c>
      <c r="G912" s="191" t="s">
        <v>140</v>
      </c>
      <c r="H912" s="292">
        <v>0</v>
      </c>
      <c r="I912" s="292">
        <v>32867</v>
      </c>
      <c r="J912" s="292">
        <v>32835</v>
      </c>
      <c r="K912" s="292">
        <v>32</v>
      </c>
      <c r="L912" s="292">
        <v>-32</v>
      </c>
    </row>
    <row r="913" spans="1:12" ht="15.2" customHeight="1" x14ac:dyDescent="0.25">
      <c r="A913" s="199" t="s">
        <v>563</v>
      </c>
      <c r="B913" s="214" t="s">
        <v>140</v>
      </c>
      <c r="C913" s="214" t="s">
        <v>140</v>
      </c>
      <c r="D913" s="214" t="s">
        <v>140</v>
      </c>
      <c r="E913" s="293">
        <f>SUBTOTAL(109,school199394[Program
Costs])</f>
        <v>60498795</v>
      </c>
      <c r="F913" s="293">
        <f>SUBTOTAL(109,school199394[Less: Net Payments and Offsets 2])</f>
        <v>58158211</v>
      </c>
      <c r="G913" s="214" t="s">
        <v>140</v>
      </c>
      <c r="H913" s="293">
        <f>SUBTOTAL(109,school199394[Accounts Payable
Balance])</f>
        <v>2340584</v>
      </c>
      <c r="I913" s="293">
        <f>SUBTOTAL(109,school199394[Established
Accounts Receivable])</f>
        <v>3893180</v>
      </c>
      <c r="J913" s="293">
        <f>SUBTOTAL(109,school199394[Less: Recovered Amount])</f>
        <v>3825038</v>
      </c>
      <c r="K913" s="293">
        <f>SUBTOTAL(109,school199394[Accounts Receivable
Balance])</f>
        <v>68142</v>
      </c>
      <c r="L913" s="293">
        <f>SUBTOTAL(109,school199394[Net
Balance])</f>
        <v>2272442</v>
      </c>
    </row>
    <row r="914" spans="1:12" x14ac:dyDescent="0.25">
      <c r="A914" s="195" t="s">
        <v>141</v>
      </c>
      <c r="B914" s="142"/>
      <c r="C914" s="142"/>
      <c r="D914" s="142"/>
      <c r="E914" s="26"/>
      <c r="F914" s="26"/>
      <c r="G914" s="196"/>
      <c r="H914" s="26"/>
      <c r="I914" s="26"/>
      <c r="J914" s="26"/>
      <c r="K914" s="26"/>
      <c r="L914" s="26"/>
    </row>
    <row r="915" spans="1:12" ht="50.1" customHeight="1" x14ac:dyDescent="0.25">
      <c r="A915" s="10" t="s">
        <v>5</v>
      </c>
      <c r="B915" s="10" t="s">
        <v>6</v>
      </c>
      <c r="C915" s="10" t="s">
        <v>0</v>
      </c>
      <c r="D915" s="10" t="s">
        <v>441</v>
      </c>
      <c r="E915" s="215" t="s">
        <v>234</v>
      </c>
      <c r="F915" s="216" t="s">
        <v>452</v>
      </c>
      <c r="G915" s="217" t="s">
        <v>142</v>
      </c>
      <c r="H915" s="215" t="s">
        <v>444</v>
      </c>
      <c r="I915" s="215" t="s">
        <v>445</v>
      </c>
      <c r="J915" s="215" t="s">
        <v>446</v>
      </c>
      <c r="K915" s="215" t="s">
        <v>447</v>
      </c>
      <c r="L915" s="215" t="s">
        <v>305</v>
      </c>
    </row>
    <row r="916" spans="1:12" x14ac:dyDescent="0.25">
      <c r="A916" s="83" t="s">
        <v>430</v>
      </c>
      <c r="B916" s="213" t="s">
        <v>564</v>
      </c>
      <c r="C916" s="213" t="s">
        <v>565</v>
      </c>
      <c r="D916" s="83">
        <v>114</v>
      </c>
      <c r="E916" s="280">
        <v>11846195</v>
      </c>
      <c r="F916" s="280">
        <v>11846195</v>
      </c>
      <c r="G916" s="191" t="s">
        <v>140</v>
      </c>
      <c r="H916" s="292">
        <v>0</v>
      </c>
      <c r="I916" s="292">
        <v>1179938</v>
      </c>
      <c r="J916" s="292">
        <v>1179552</v>
      </c>
      <c r="K916" s="292">
        <v>386</v>
      </c>
      <c r="L916" s="292">
        <v>-386</v>
      </c>
    </row>
    <row r="917" spans="1:12" ht="30.75" x14ac:dyDescent="0.25">
      <c r="A917" s="83" t="s">
        <v>430</v>
      </c>
      <c r="B917" s="213" t="s">
        <v>72</v>
      </c>
      <c r="C917" s="213" t="s">
        <v>13</v>
      </c>
      <c r="D917" s="83">
        <v>11</v>
      </c>
      <c r="E917" s="280">
        <v>29309462</v>
      </c>
      <c r="F917" s="280">
        <v>29309462</v>
      </c>
      <c r="G917" s="191" t="s">
        <v>140</v>
      </c>
      <c r="H917" s="292">
        <v>0</v>
      </c>
      <c r="I917" s="292">
        <v>3004258</v>
      </c>
      <c r="J917" s="292">
        <v>2983106</v>
      </c>
      <c r="K917" s="292">
        <v>21152</v>
      </c>
      <c r="L917" s="292">
        <v>-21152</v>
      </c>
    </row>
    <row r="918" spans="1:12" x14ac:dyDescent="0.25">
      <c r="A918" s="83" t="s">
        <v>430</v>
      </c>
      <c r="B918" s="213" t="s">
        <v>557</v>
      </c>
      <c r="C918" s="213" t="s">
        <v>558</v>
      </c>
      <c r="D918" s="83">
        <v>79</v>
      </c>
      <c r="E918" s="280">
        <v>1853410</v>
      </c>
      <c r="F918" s="280">
        <v>1853410</v>
      </c>
      <c r="G918" s="191" t="s">
        <v>140</v>
      </c>
      <c r="H918" s="292">
        <v>0</v>
      </c>
      <c r="I918" s="292">
        <v>654070</v>
      </c>
      <c r="J918" s="292">
        <v>649037</v>
      </c>
      <c r="K918" s="292">
        <v>5033</v>
      </c>
      <c r="L918" s="292">
        <v>-5033</v>
      </c>
    </row>
    <row r="919" spans="1:12" ht="15.75" customHeight="1" x14ac:dyDescent="0.25">
      <c r="A919" s="199" t="s">
        <v>433</v>
      </c>
      <c r="B919" s="214" t="s">
        <v>140</v>
      </c>
      <c r="C919" s="214" t="s">
        <v>140</v>
      </c>
      <c r="D919" s="214" t="s">
        <v>140</v>
      </c>
      <c r="E919" s="293">
        <f>SUBTOTAL(109,school199293[Program
Costs])</f>
        <v>43009067</v>
      </c>
      <c r="F919" s="293">
        <f>SUBTOTAL(109,school199293[Less: Net Payments and Offsets2])</f>
        <v>43009067</v>
      </c>
      <c r="G919" s="214" t="s">
        <v>140</v>
      </c>
      <c r="H919" s="293">
        <f>SUBTOTAL(109,school199293[Accounts Payable
Balance])</f>
        <v>0</v>
      </c>
      <c r="I919" s="293">
        <f>SUBTOTAL(109,school199293[Established
Accounts Receivable])</f>
        <v>4838266</v>
      </c>
      <c r="J919" s="293">
        <f>SUBTOTAL(109,school199293[Less: Recovered Amount])</f>
        <v>4811695</v>
      </c>
      <c r="K919" s="293">
        <f>SUBTOTAL(109,school199293[Accounts Receivable
Balance])</f>
        <v>26571</v>
      </c>
      <c r="L919" s="293">
        <f>SUBTOTAL(109,school199293[Net
Balance])</f>
        <v>-26571</v>
      </c>
    </row>
    <row r="920" spans="1:12" x14ac:dyDescent="0.25">
      <c r="A920" s="195" t="s">
        <v>141</v>
      </c>
      <c r="B920" s="142"/>
      <c r="C920" s="142"/>
      <c r="D920" s="142"/>
      <c r="E920" s="26"/>
      <c r="F920" s="26"/>
      <c r="G920" s="196"/>
      <c r="H920" s="26"/>
      <c r="I920" s="26"/>
      <c r="J920" s="26"/>
      <c r="K920" s="26"/>
      <c r="L920" s="26"/>
    </row>
    <row r="921" spans="1:12" ht="50.1" customHeight="1" x14ac:dyDescent="0.25">
      <c r="A921" s="10" t="s">
        <v>5</v>
      </c>
      <c r="B921" s="10" t="s">
        <v>6</v>
      </c>
      <c r="C921" s="10" t="s">
        <v>0</v>
      </c>
      <c r="D921" s="10" t="s">
        <v>441</v>
      </c>
      <c r="E921" s="215" t="s">
        <v>234</v>
      </c>
      <c r="F921" s="216" t="s">
        <v>452</v>
      </c>
      <c r="G921" s="217" t="s">
        <v>142</v>
      </c>
      <c r="H921" s="215" t="s">
        <v>444</v>
      </c>
      <c r="I921" s="215" t="s">
        <v>445</v>
      </c>
      <c r="J921" s="215" t="s">
        <v>446</v>
      </c>
      <c r="K921" s="215" t="s">
        <v>447</v>
      </c>
      <c r="L921" s="215" t="s">
        <v>305</v>
      </c>
    </row>
    <row r="922" spans="1:12" x14ac:dyDescent="0.25">
      <c r="A922" s="83" t="s">
        <v>434</v>
      </c>
      <c r="B922" s="213" t="s">
        <v>564</v>
      </c>
      <c r="C922" s="213" t="s">
        <v>565</v>
      </c>
      <c r="D922" s="83">
        <v>114</v>
      </c>
      <c r="E922" s="280">
        <v>10650345</v>
      </c>
      <c r="F922" s="280">
        <v>10650345</v>
      </c>
      <c r="G922" s="191" t="s">
        <v>140</v>
      </c>
      <c r="H922" s="292">
        <v>0</v>
      </c>
      <c r="I922" s="292">
        <v>1058329</v>
      </c>
      <c r="J922" s="292">
        <v>1057915</v>
      </c>
      <c r="K922" s="292">
        <v>414</v>
      </c>
      <c r="L922" s="292">
        <v>-414</v>
      </c>
    </row>
    <row r="923" spans="1:12" x14ac:dyDescent="0.25">
      <c r="A923" s="83" t="s">
        <v>434</v>
      </c>
      <c r="B923" s="213" t="s">
        <v>418</v>
      </c>
      <c r="C923" s="213" t="s">
        <v>327</v>
      </c>
      <c r="D923" s="83">
        <v>92</v>
      </c>
      <c r="E923" s="280">
        <v>869812</v>
      </c>
      <c r="F923" s="280">
        <v>869812</v>
      </c>
      <c r="G923" s="191" t="s">
        <v>140</v>
      </c>
      <c r="H923" s="292">
        <v>0</v>
      </c>
      <c r="I923" s="292">
        <v>302710</v>
      </c>
      <c r="J923" s="292">
        <v>302634</v>
      </c>
      <c r="K923" s="292">
        <v>76</v>
      </c>
      <c r="L923" s="292">
        <v>-76</v>
      </c>
    </row>
    <row r="924" spans="1:12" ht="15.75" customHeight="1" x14ac:dyDescent="0.25">
      <c r="A924" s="199" t="s">
        <v>437</v>
      </c>
      <c r="B924" s="214" t="s">
        <v>140</v>
      </c>
      <c r="C924" s="214" t="s">
        <v>140</v>
      </c>
      <c r="D924" s="214" t="s">
        <v>140</v>
      </c>
      <c r="E924" s="293">
        <f>SUBTOTAL(109,school199192[Program
Costs])</f>
        <v>11520157</v>
      </c>
      <c r="F924" s="293">
        <f>SUBTOTAL(109,school199192[Less: Net Payments and Offsets2])</f>
        <v>11520157</v>
      </c>
      <c r="G924" s="214" t="s">
        <v>140</v>
      </c>
      <c r="H924" s="293">
        <f>SUBTOTAL(109,school199192[Accounts Payable
Balance])</f>
        <v>0</v>
      </c>
      <c r="I924" s="293">
        <f>SUBTOTAL(109,school199192[Established
Accounts Receivable])</f>
        <v>1361039</v>
      </c>
      <c r="J924" s="293">
        <f>SUBTOTAL(109,school199192[Less: Recovered Amount])</f>
        <v>1360549</v>
      </c>
      <c r="K924" s="293">
        <f>SUBTOTAL(109,school199192[Accounts Receivable
Balance])</f>
        <v>490</v>
      </c>
      <c r="L924" s="293">
        <f>SUBTOTAL(109,school199192[Net
Balance])</f>
        <v>-490</v>
      </c>
    </row>
    <row r="925" spans="1:12" x14ac:dyDescent="0.25">
      <c r="A925" s="195" t="s">
        <v>141</v>
      </c>
      <c r="B925" s="142"/>
      <c r="C925" s="142"/>
      <c r="D925" s="142"/>
      <c r="E925" s="26"/>
      <c r="F925" s="26"/>
      <c r="G925" s="196"/>
      <c r="H925" s="26"/>
      <c r="I925" s="26"/>
      <c r="J925" s="26"/>
      <c r="K925" s="26"/>
      <c r="L925" s="26"/>
    </row>
    <row r="926" spans="1:12" ht="50.1" customHeight="1" x14ac:dyDescent="0.25">
      <c r="A926" s="10" t="s">
        <v>5</v>
      </c>
      <c r="B926" s="10" t="s">
        <v>6</v>
      </c>
      <c r="C926" s="10" t="s">
        <v>0</v>
      </c>
      <c r="D926" s="10" t="s">
        <v>441</v>
      </c>
      <c r="E926" s="215" t="s">
        <v>234</v>
      </c>
      <c r="F926" s="216" t="s">
        <v>452</v>
      </c>
      <c r="G926" s="217" t="s">
        <v>142</v>
      </c>
      <c r="H926" s="215" t="s">
        <v>444</v>
      </c>
      <c r="I926" s="215" t="s">
        <v>445</v>
      </c>
      <c r="J926" s="215" t="s">
        <v>446</v>
      </c>
      <c r="K926" s="215" t="s">
        <v>447</v>
      </c>
      <c r="L926" s="215" t="s">
        <v>305</v>
      </c>
    </row>
    <row r="927" spans="1:12" x14ac:dyDescent="0.25">
      <c r="A927" s="83" t="s">
        <v>566</v>
      </c>
      <c r="B927" s="213" t="s">
        <v>564</v>
      </c>
      <c r="C927" s="213" t="s">
        <v>565</v>
      </c>
      <c r="D927" s="83">
        <v>114</v>
      </c>
      <c r="E927" s="280">
        <v>9961940</v>
      </c>
      <c r="F927" s="280">
        <v>9961940</v>
      </c>
      <c r="G927" s="191" t="s">
        <v>140</v>
      </c>
      <c r="H927" s="292">
        <v>0</v>
      </c>
      <c r="I927" s="292">
        <v>1019995</v>
      </c>
      <c r="J927" s="292">
        <v>1019595</v>
      </c>
      <c r="K927" s="292">
        <v>400</v>
      </c>
      <c r="L927" s="292">
        <v>-400</v>
      </c>
    </row>
    <row r="928" spans="1:12" x14ac:dyDescent="0.25">
      <c r="A928" s="83" t="s">
        <v>566</v>
      </c>
      <c r="B928" s="213" t="s">
        <v>518</v>
      </c>
      <c r="C928" s="213" t="s">
        <v>17</v>
      </c>
      <c r="D928" s="83">
        <v>26</v>
      </c>
      <c r="E928" s="280">
        <v>5435894</v>
      </c>
      <c r="F928" s="280">
        <v>5435894</v>
      </c>
      <c r="G928" s="191" t="s">
        <v>140</v>
      </c>
      <c r="H928" s="292">
        <v>0</v>
      </c>
      <c r="I928" s="292">
        <v>2940929</v>
      </c>
      <c r="J928" s="292">
        <v>2591660</v>
      </c>
      <c r="K928" s="292">
        <v>349269</v>
      </c>
      <c r="L928" s="292">
        <v>-349269</v>
      </c>
    </row>
    <row r="929" spans="1:12" ht="15.75" customHeight="1" x14ac:dyDescent="0.25">
      <c r="A929" s="199" t="s">
        <v>567</v>
      </c>
      <c r="B929" s="214" t="s">
        <v>140</v>
      </c>
      <c r="C929" s="214" t="s">
        <v>140</v>
      </c>
      <c r="D929" s="214" t="s">
        <v>140</v>
      </c>
      <c r="E929" s="293">
        <f>SUBTOTAL(109,school199091[Program
Costs])</f>
        <v>15397834</v>
      </c>
      <c r="F929" s="293">
        <f>SUBTOTAL(109,school199091[Less: Net Payments and Offsets2])</f>
        <v>15397834</v>
      </c>
      <c r="G929" s="214" t="s">
        <v>140</v>
      </c>
      <c r="H929" s="293">
        <f>SUBTOTAL(109,school199091[Accounts Payable
Balance])</f>
        <v>0</v>
      </c>
      <c r="I929" s="293">
        <f>SUBTOTAL(109,school199091[Established
Accounts Receivable])</f>
        <v>3960924</v>
      </c>
      <c r="J929" s="293">
        <f>SUBTOTAL(109,school199091[Less: Recovered Amount])</f>
        <v>3611255</v>
      </c>
      <c r="K929" s="293">
        <f>SUBTOTAL(109,school199091[Accounts Receivable
Balance])</f>
        <v>349669</v>
      </c>
      <c r="L929" s="293">
        <f>SUBTOTAL(109,school199091[Net
Balance])</f>
        <v>-349669</v>
      </c>
    </row>
    <row r="930" spans="1:12" x14ac:dyDescent="0.25">
      <c r="A930" s="195" t="s">
        <v>141</v>
      </c>
      <c r="B930" s="142"/>
      <c r="C930" s="142"/>
      <c r="D930" s="142"/>
      <c r="E930" s="26"/>
      <c r="F930" s="26"/>
      <c r="G930" s="196"/>
      <c r="H930" s="26"/>
      <c r="I930" s="26"/>
      <c r="J930" s="26"/>
      <c r="K930" s="26"/>
      <c r="L930" s="26"/>
    </row>
    <row r="931" spans="1:12" ht="50.1" customHeight="1" x14ac:dyDescent="0.25">
      <c r="A931" s="10" t="s">
        <v>5</v>
      </c>
      <c r="B931" s="10" t="s">
        <v>6</v>
      </c>
      <c r="C931" s="10" t="s">
        <v>0</v>
      </c>
      <c r="D931" s="10" t="s">
        <v>441</v>
      </c>
      <c r="E931" s="215" t="s">
        <v>234</v>
      </c>
      <c r="F931" s="216" t="s">
        <v>561</v>
      </c>
      <c r="G931" s="217" t="s">
        <v>142</v>
      </c>
      <c r="H931" s="215" t="s">
        <v>444</v>
      </c>
      <c r="I931" s="215" t="s">
        <v>445</v>
      </c>
      <c r="J931" s="215" t="s">
        <v>446</v>
      </c>
      <c r="K931" s="215" t="s">
        <v>447</v>
      </c>
      <c r="L931" s="215" t="s">
        <v>305</v>
      </c>
    </row>
    <row r="932" spans="1:12" x14ac:dyDescent="0.25">
      <c r="A932" s="83" t="s">
        <v>568</v>
      </c>
      <c r="B932" s="213" t="s">
        <v>564</v>
      </c>
      <c r="C932" s="213" t="s">
        <v>565</v>
      </c>
      <c r="D932" s="83">
        <v>114</v>
      </c>
      <c r="E932" s="280">
        <v>9684270</v>
      </c>
      <c r="F932" s="280">
        <v>9684270</v>
      </c>
      <c r="G932" s="191" t="s">
        <v>140</v>
      </c>
      <c r="H932" s="292">
        <v>0</v>
      </c>
      <c r="I932" s="292">
        <v>954100</v>
      </c>
      <c r="J932" s="292">
        <v>953623</v>
      </c>
      <c r="K932" s="292">
        <v>477</v>
      </c>
      <c r="L932" s="292">
        <v>-477</v>
      </c>
    </row>
    <row r="933" spans="1:12" x14ac:dyDescent="0.25">
      <c r="A933" s="83" t="s">
        <v>568</v>
      </c>
      <c r="B933" s="213" t="s">
        <v>518</v>
      </c>
      <c r="C933" s="213" t="s">
        <v>17</v>
      </c>
      <c r="D933" s="83">
        <v>26</v>
      </c>
      <c r="E933" s="280">
        <v>8260170</v>
      </c>
      <c r="F933" s="280">
        <v>8260170</v>
      </c>
      <c r="G933" s="191" t="s">
        <v>140</v>
      </c>
      <c r="H933" s="292">
        <v>0</v>
      </c>
      <c r="I933" s="292">
        <v>611477</v>
      </c>
      <c r="J933" s="292">
        <v>571387</v>
      </c>
      <c r="K933" s="292">
        <v>40090</v>
      </c>
      <c r="L933" s="292">
        <v>-40090</v>
      </c>
    </row>
    <row r="934" spans="1:12" ht="15.2" customHeight="1" x14ac:dyDescent="0.25">
      <c r="A934" s="199" t="s">
        <v>569</v>
      </c>
      <c r="B934" s="214" t="s">
        <v>140</v>
      </c>
      <c r="C934" s="214" t="s">
        <v>140</v>
      </c>
      <c r="D934" s="214" t="s">
        <v>140</v>
      </c>
      <c r="E934" s="293">
        <f>SUBTOTAL(109,school198990[Program
Costs])</f>
        <v>17944440</v>
      </c>
      <c r="F934" s="293">
        <f>SUBTOTAL(109,school198990[Less: Net Payments and Offsets 2])</f>
        <v>17944440</v>
      </c>
      <c r="G934" s="214" t="s">
        <v>140</v>
      </c>
      <c r="H934" s="293">
        <f>SUBTOTAL(109,school198990[Accounts Payable
Balance])</f>
        <v>0</v>
      </c>
      <c r="I934" s="293">
        <f>SUBTOTAL(109,school198990[Established
Accounts Receivable])</f>
        <v>1565577</v>
      </c>
      <c r="J934" s="293">
        <f>SUBTOTAL(109,school198990[Less: Recovered Amount])</f>
        <v>1525010</v>
      </c>
      <c r="K934" s="293">
        <f>SUBTOTAL(109,school198990[Accounts Receivable
Balance])</f>
        <v>40567</v>
      </c>
      <c r="L934" s="293">
        <f>SUBTOTAL(109,school198990[Net
Balance])</f>
        <v>-40567</v>
      </c>
    </row>
    <row r="935" spans="1:12" x14ac:dyDescent="0.25">
      <c r="A935" s="195" t="s">
        <v>141</v>
      </c>
      <c r="B935" s="142"/>
      <c r="C935" s="142"/>
      <c r="D935" s="142"/>
      <c r="E935" s="26"/>
      <c r="F935" s="26"/>
      <c r="G935" s="196"/>
      <c r="H935" s="26"/>
      <c r="I935" s="26"/>
      <c r="J935" s="26"/>
      <c r="K935" s="26"/>
      <c r="L935" s="26"/>
    </row>
    <row r="936" spans="1:12" ht="50.1" customHeight="1" x14ac:dyDescent="0.25">
      <c r="A936" s="10" t="s">
        <v>5</v>
      </c>
      <c r="B936" s="10" t="s">
        <v>6</v>
      </c>
      <c r="C936" s="10" t="s">
        <v>0</v>
      </c>
      <c r="D936" s="10" t="s">
        <v>441</v>
      </c>
      <c r="E936" s="215" t="s">
        <v>234</v>
      </c>
      <c r="F936" s="216" t="s">
        <v>452</v>
      </c>
      <c r="G936" s="217" t="s">
        <v>142</v>
      </c>
      <c r="H936" s="215" t="s">
        <v>444</v>
      </c>
      <c r="I936" s="215" t="s">
        <v>445</v>
      </c>
      <c r="J936" s="215" t="s">
        <v>446</v>
      </c>
      <c r="K936" s="215" t="s">
        <v>447</v>
      </c>
      <c r="L936" s="215" t="s">
        <v>305</v>
      </c>
    </row>
    <row r="937" spans="1:12" x14ac:dyDescent="0.25">
      <c r="A937" s="83" t="s">
        <v>570</v>
      </c>
      <c r="B937" s="213" t="s">
        <v>564</v>
      </c>
      <c r="C937" s="213" t="s">
        <v>565</v>
      </c>
      <c r="D937" s="83">
        <v>114</v>
      </c>
      <c r="E937" s="280">
        <v>8195968</v>
      </c>
      <c r="F937" s="280">
        <v>8195968</v>
      </c>
      <c r="G937" s="191" t="s">
        <v>140</v>
      </c>
      <c r="H937" s="292">
        <v>0</v>
      </c>
      <c r="I937" s="292">
        <v>880183</v>
      </c>
      <c r="J937" s="292">
        <v>879682</v>
      </c>
      <c r="K937" s="292">
        <v>501</v>
      </c>
      <c r="L937" s="292">
        <v>-501</v>
      </c>
    </row>
    <row r="938" spans="1:12" ht="15.75" customHeight="1" x14ac:dyDescent="0.25">
      <c r="A938" s="199" t="s">
        <v>571</v>
      </c>
      <c r="B938" s="214" t="s">
        <v>140</v>
      </c>
      <c r="C938" s="214" t="s">
        <v>140</v>
      </c>
      <c r="D938" s="214" t="s">
        <v>140</v>
      </c>
      <c r="E938" s="293">
        <f>SUBTOTAL(109,school198889[Program
Costs])</f>
        <v>8195968</v>
      </c>
      <c r="F938" s="293">
        <f>SUBTOTAL(109,school198889[Less: Net Payments and Offsets2])</f>
        <v>8195968</v>
      </c>
      <c r="G938" s="214" t="s">
        <v>140</v>
      </c>
      <c r="H938" s="293">
        <f>SUBTOTAL(109,school198889[Accounts Payable
Balance])</f>
        <v>0</v>
      </c>
      <c r="I938" s="293">
        <f>SUBTOTAL(109,school198889[Established
Accounts Receivable])</f>
        <v>880183</v>
      </c>
      <c r="J938" s="293">
        <f>SUBTOTAL(109,school198889[Less: Recovered Amount])</f>
        <v>879682</v>
      </c>
      <c r="K938" s="293">
        <f>SUBTOTAL(109,school198889[Accounts Receivable
Balance])</f>
        <v>501</v>
      </c>
      <c r="L938" s="293">
        <f>SUBTOTAL(109,school198889[Net
Balance])</f>
        <v>-501</v>
      </c>
    </row>
    <row r="939" spans="1:12" x14ac:dyDescent="0.25">
      <c r="A939" s="195" t="s">
        <v>141</v>
      </c>
      <c r="B939" s="142"/>
      <c r="C939" s="142"/>
      <c r="D939" s="142"/>
      <c r="E939" s="26"/>
      <c r="F939" s="26"/>
      <c r="G939" s="196"/>
      <c r="H939" s="26"/>
      <c r="I939" s="26"/>
      <c r="J939" s="26"/>
      <c r="K939" s="26"/>
      <c r="L939" s="26"/>
    </row>
    <row r="940" spans="1:12" ht="50.1" customHeight="1" x14ac:dyDescent="0.25">
      <c r="A940" s="10" t="s">
        <v>5</v>
      </c>
      <c r="B940" s="10" t="s">
        <v>6</v>
      </c>
      <c r="C940" s="10" t="s">
        <v>0</v>
      </c>
      <c r="D940" s="10" t="s">
        <v>441</v>
      </c>
      <c r="E940" s="215" t="s">
        <v>234</v>
      </c>
      <c r="F940" s="216" t="s">
        <v>452</v>
      </c>
      <c r="G940" s="217" t="s">
        <v>142</v>
      </c>
      <c r="H940" s="215" t="s">
        <v>444</v>
      </c>
      <c r="I940" s="215" t="s">
        <v>445</v>
      </c>
      <c r="J940" s="215" t="s">
        <v>446</v>
      </c>
      <c r="K940" s="215" t="s">
        <v>447</v>
      </c>
      <c r="L940" s="215" t="s">
        <v>305</v>
      </c>
    </row>
    <row r="941" spans="1:12" x14ac:dyDescent="0.25">
      <c r="A941" s="83" t="s">
        <v>572</v>
      </c>
      <c r="B941" s="201" t="s">
        <v>564</v>
      </c>
      <c r="C941" s="5" t="s">
        <v>565</v>
      </c>
      <c r="D941" s="83">
        <v>114</v>
      </c>
      <c r="E941" s="292">
        <v>8055062</v>
      </c>
      <c r="F941" s="292">
        <v>8055062</v>
      </c>
      <c r="G941" s="191" t="s">
        <v>140</v>
      </c>
      <c r="H941" s="292">
        <v>0</v>
      </c>
      <c r="I941" s="292">
        <v>803598</v>
      </c>
      <c r="J941" s="292">
        <v>803123</v>
      </c>
      <c r="K941" s="292">
        <v>475</v>
      </c>
      <c r="L941" s="292">
        <v>-475</v>
      </c>
    </row>
    <row r="942" spans="1:12" ht="15.75" customHeight="1" x14ac:dyDescent="0.25">
      <c r="A942" s="199" t="s">
        <v>573</v>
      </c>
      <c r="B942" s="214" t="s">
        <v>140</v>
      </c>
      <c r="C942" s="214" t="s">
        <v>140</v>
      </c>
      <c r="D942" s="214" t="s">
        <v>140</v>
      </c>
      <c r="E942" s="293">
        <f>SUBTOTAL(109,school198788[Program
Costs])</f>
        <v>8055062</v>
      </c>
      <c r="F942" s="293">
        <f>SUBTOTAL(109,school198788[Less: Net Payments and Offsets2])</f>
        <v>8055062</v>
      </c>
      <c r="G942" s="214" t="s">
        <v>140</v>
      </c>
      <c r="H942" s="293">
        <f>SUBTOTAL(109,school198788[Accounts Payable
Balance])</f>
        <v>0</v>
      </c>
      <c r="I942" s="293">
        <f>SUBTOTAL(109,school198788[Established
Accounts Receivable])</f>
        <v>803598</v>
      </c>
      <c r="J942" s="293">
        <f>SUBTOTAL(109,school198788[Less: Recovered Amount])</f>
        <v>803123</v>
      </c>
      <c r="K942" s="293">
        <f>SUBTOTAL(109,school198788[Accounts Receivable
Balance])</f>
        <v>475</v>
      </c>
      <c r="L942" s="293">
        <f>SUBTOTAL(109,school198788[Net
Balance])</f>
        <v>-475</v>
      </c>
    </row>
    <row r="943" spans="1:12" x14ac:dyDescent="0.25">
      <c r="A943" s="195" t="s">
        <v>141</v>
      </c>
      <c r="B943" s="142"/>
      <c r="C943" s="142"/>
      <c r="D943" s="142"/>
      <c r="E943" s="26"/>
      <c r="F943" s="26"/>
      <c r="G943" s="196"/>
      <c r="H943" s="26"/>
      <c r="I943" s="26"/>
      <c r="J943" s="26"/>
      <c r="K943" s="26"/>
      <c r="L943" s="26"/>
    </row>
    <row r="944" spans="1:12" ht="50.1" customHeight="1" x14ac:dyDescent="0.25">
      <c r="A944" s="10" t="s">
        <v>5</v>
      </c>
      <c r="B944" s="10" t="s">
        <v>6</v>
      </c>
      <c r="C944" s="10" t="s">
        <v>0</v>
      </c>
      <c r="D944" s="10" t="s">
        <v>441</v>
      </c>
      <c r="E944" s="215" t="s">
        <v>234</v>
      </c>
      <c r="F944" s="216" t="s">
        <v>452</v>
      </c>
      <c r="G944" s="217" t="s">
        <v>142</v>
      </c>
      <c r="H944" s="215" t="s">
        <v>444</v>
      </c>
      <c r="I944" s="215" t="s">
        <v>445</v>
      </c>
      <c r="J944" s="215" t="s">
        <v>446</v>
      </c>
      <c r="K944" s="215" t="s">
        <v>447</v>
      </c>
      <c r="L944" s="215" t="s">
        <v>305</v>
      </c>
    </row>
    <row r="945" spans="1:12" x14ac:dyDescent="0.25">
      <c r="A945" s="83" t="s">
        <v>574</v>
      </c>
      <c r="B945" s="201" t="s">
        <v>564</v>
      </c>
      <c r="C945" s="5" t="s">
        <v>565</v>
      </c>
      <c r="D945" s="83">
        <v>114</v>
      </c>
      <c r="E945" s="292">
        <v>7376797</v>
      </c>
      <c r="F945" s="292">
        <v>7376797</v>
      </c>
      <c r="G945" s="191" t="s">
        <v>140</v>
      </c>
      <c r="H945" s="292">
        <v>0</v>
      </c>
      <c r="I945" s="292">
        <v>727817</v>
      </c>
      <c r="J945" s="292">
        <v>726917</v>
      </c>
      <c r="K945" s="292">
        <v>900</v>
      </c>
      <c r="L945" s="292">
        <v>-900</v>
      </c>
    </row>
    <row r="946" spans="1:12" ht="15.75" customHeight="1" x14ac:dyDescent="0.25">
      <c r="A946" s="202" t="s">
        <v>575</v>
      </c>
      <c r="B946" s="218" t="s">
        <v>140</v>
      </c>
      <c r="C946" s="218" t="s">
        <v>140</v>
      </c>
      <c r="D946" s="218" t="s">
        <v>140</v>
      </c>
      <c r="E946" s="244">
        <f>SUBTOTAL(109,school198687[Program
Costs])</f>
        <v>7376797</v>
      </c>
      <c r="F946" s="244">
        <f>SUBTOTAL(109,school198687[Less: Net Payments and Offsets2])</f>
        <v>7376797</v>
      </c>
      <c r="G946" s="218" t="s">
        <v>140</v>
      </c>
      <c r="H946" s="244">
        <f>SUBTOTAL(109,school198687[Accounts Payable
Balance])</f>
        <v>0</v>
      </c>
      <c r="I946" s="244">
        <f>SUBTOTAL(109,school198687[Established
Accounts Receivable])</f>
        <v>727817</v>
      </c>
      <c r="J946" s="244">
        <f>SUBTOTAL(109,school198687[Less: Recovered Amount])</f>
        <v>726917</v>
      </c>
      <c r="K946" s="244">
        <f>SUBTOTAL(109,school198687[Accounts Receivable
Balance])</f>
        <v>900</v>
      </c>
      <c r="L946" s="244">
        <f>SUBTOTAL(109,school198687[Net
Balance])</f>
        <v>-900</v>
      </c>
    </row>
    <row r="947" spans="1:12" x14ac:dyDescent="0.25">
      <c r="A947" s="195" t="s">
        <v>141</v>
      </c>
      <c r="B947" s="142"/>
      <c r="C947" s="142"/>
      <c r="D947" s="142"/>
      <c r="E947" s="26"/>
      <c r="F947" s="26"/>
      <c r="G947" s="196"/>
      <c r="H947" s="26"/>
      <c r="I947" s="26"/>
      <c r="J947" s="26"/>
      <c r="K947" s="26"/>
      <c r="L947" s="26"/>
    </row>
    <row r="948" spans="1:12" ht="50.1" customHeight="1" x14ac:dyDescent="0.25">
      <c r="A948" s="10" t="s">
        <v>5</v>
      </c>
      <c r="B948" s="10" t="s">
        <v>6</v>
      </c>
      <c r="C948" s="10" t="s">
        <v>0</v>
      </c>
      <c r="D948" s="10" t="s">
        <v>441</v>
      </c>
      <c r="E948" s="215" t="s">
        <v>234</v>
      </c>
      <c r="F948" s="216" t="s">
        <v>452</v>
      </c>
      <c r="G948" s="217" t="s">
        <v>142</v>
      </c>
      <c r="H948" s="215" t="s">
        <v>444</v>
      </c>
      <c r="I948" s="215" t="s">
        <v>445</v>
      </c>
      <c r="J948" s="215" t="s">
        <v>446</v>
      </c>
      <c r="K948" s="215" t="s">
        <v>447</v>
      </c>
      <c r="L948" s="215" t="s">
        <v>305</v>
      </c>
    </row>
    <row r="949" spans="1:12" x14ac:dyDescent="0.25">
      <c r="A949" s="83" t="s">
        <v>576</v>
      </c>
      <c r="B949" s="201" t="s">
        <v>564</v>
      </c>
      <c r="C949" s="5" t="s">
        <v>565</v>
      </c>
      <c r="D949" s="83">
        <v>114</v>
      </c>
      <c r="E949" s="292">
        <v>7513308</v>
      </c>
      <c r="F949" s="292">
        <v>7513308</v>
      </c>
      <c r="G949" s="191" t="s">
        <v>140</v>
      </c>
      <c r="H949" s="292">
        <v>0</v>
      </c>
      <c r="I949" s="292">
        <v>588899</v>
      </c>
      <c r="J949" s="292">
        <v>588367</v>
      </c>
      <c r="K949" s="292">
        <v>532</v>
      </c>
      <c r="L949" s="292">
        <v>-532</v>
      </c>
    </row>
    <row r="950" spans="1:12" ht="15.75" customHeight="1" x14ac:dyDescent="0.25">
      <c r="A950" s="202" t="s">
        <v>577</v>
      </c>
      <c r="B950" s="218" t="s">
        <v>140</v>
      </c>
      <c r="C950" s="218" t="s">
        <v>140</v>
      </c>
      <c r="D950" s="218" t="s">
        <v>140</v>
      </c>
      <c r="E950" s="244">
        <f>SUBTOTAL(109,school198586[Program
Costs])</f>
        <v>7513308</v>
      </c>
      <c r="F950" s="244">
        <f>SUBTOTAL(109,school198586[Less: Net Payments and Offsets2])</f>
        <v>7513308</v>
      </c>
      <c r="G950" s="218" t="s">
        <v>140</v>
      </c>
      <c r="H950" s="244">
        <f>SUBTOTAL(109,school198586[Accounts Payable
Balance])</f>
        <v>0</v>
      </c>
      <c r="I950" s="244">
        <f>SUBTOTAL(109,school198586[Established
Accounts Receivable])</f>
        <v>588899</v>
      </c>
      <c r="J950" s="244">
        <f>SUBTOTAL(109,school198586[Less: Recovered Amount])</f>
        <v>588367</v>
      </c>
      <c r="K950" s="244">
        <f>SUBTOTAL(109,school198586[Accounts Receivable
Balance])</f>
        <v>532</v>
      </c>
      <c r="L950" s="244">
        <f>SUBTOTAL(109,school198586[Net
Balance])</f>
        <v>-532</v>
      </c>
    </row>
    <row r="951" spans="1:12" x14ac:dyDescent="0.25">
      <c r="A951" s="195" t="s">
        <v>141</v>
      </c>
      <c r="B951" s="142"/>
      <c r="C951" s="142"/>
      <c r="D951" s="142"/>
      <c r="E951" s="26"/>
      <c r="F951" s="26"/>
      <c r="G951" s="196"/>
      <c r="H951" s="26"/>
      <c r="I951" s="26"/>
      <c r="J951" s="26"/>
      <c r="K951" s="26"/>
      <c r="L951" s="26"/>
    </row>
    <row r="952" spans="1:12" ht="50.1" customHeight="1" x14ac:dyDescent="0.25">
      <c r="A952" s="10" t="s">
        <v>5</v>
      </c>
      <c r="B952" s="10" t="s">
        <v>6</v>
      </c>
      <c r="C952" s="10" t="s">
        <v>0</v>
      </c>
      <c r="D952" s="10" t="s">
        <v>441</v>
      </c>
      <c r="E952" s="215" t="s">
        <v>234</v>
      </c>
      <c r="F952" s="216" t="s">
        <v>452</v>
      </c>
      <c r="G952" s="217" t="s">
        <v>142</v>
      </c>
      <c r="H952" s="215" t="s">
        <v>444</v>
      </c>
      <c r="I952" s="215" t="s">
        <v>445</v>
      </c>
      <c r="J952" s="215" t="s">
        <v>446</v>
      </c>
      <c r="K952" s="215" t="s">
        <v>447</v>
      </c>
      <c r="L952" s="215" t="s">
        <v>305</v>
      </c>
    </row>
    <row r="953" spans="1:12" x14ac:dyDescent="0.25">
      <c r="A953" s="203" t="s">
        <v>308</v>
      </c>
      <c r="B953" s="219" t="s">
        <v>140</v>
      </c>
      <c r="C953" s="219" t="s">
        <v>140</v>
      </c>
      <c r="D953" s="219" t="s">
        <v>140</v>
      </c>
      <c r="E953" s="274">
        <v>423125</v>
      </c>
      <c r="F953" s="274">
        <v>24000</v>
      </c>
      <c r="G953" s="191" t="s">
        <v>140</v>
      </c>
      <c r="H953" s="274">
        <v>399125</v>
      </c>
      <c r="I953" s="274">
        <v>0</v>
      </c>
      <c r="J953" s="274">
        <v>0</v>
      </c>
      <c r="K953" s="274">
        <v>0</v>
      </c>
      <c r="L953" s="274">
        <v>399125</v>
      </c>
    </row>
    <row r="954" spans="1:12" x14ac:dyDescent="0.25">
      <c r="A954" s="220" t="s">
        <v>309</v>
      </c>
      <c r="B954" s="191" t="s">
        <v>140</v>
      </c>
      <c r="C954" s="191" t="s">
        <v>140</v>
      </c>
      <c r="D954" s="191" t="s">
        <v>140</v>
      </c>
      <c r="E954" s="295">
        <v>549322</v>
      </c>
      <c r="F954" s="295">
        <v>23000</v>
      </c>
      <c r="G954" s="191" t="s">
        <v>140</v>
      </c>
      <c r="H954" s="295">
        <v>526322</v>
      </c>
      <c r="I954" s="295">
        <v>0</v>
      </c>
      <c r="J954" s="295">
        <v>0</v>
      </c>
      <c r="K954" s="295">
        <v>0</v>
      </c>
      <c r="L954" s="295">
        <v>526322</v>
      </c>
    </row>
    <row r="955" spans="1:12" x14ac:dyDescent="0.25">
      <c r="A955" s="205" t="s">
        <v>311</v>
      </c>
      <c r="B955" s="221" t="s">
        <v>140</v>
      </c>
      <c r="C955" s="221" t="s">
        <v>140</v>
      </c>
      <c r="D955" s="221" t="s">
        <v>140</v>
      </c>
      <c r="E955" s="243">
        <v>1493855</v>
      </c>
      <c r="F955" s="243">
        <v>26000</v>
      </c>
      <c r="G955" s="191" t="s">
        <v>140</v>
      </c>
      <c r="H955" s="243">
        <v>1467855</v>
      </c>
      <c r="I955" s="243">
        <v>0</v>
      </c>
      <c r="J955" s="243">
        <v>0</v>
      </c>
      <c r="K955" s="243">
        <v>0</v>
      </c>
      <c r="L955" s="243">
        <v>1467855</v>
      </c>
    </row>
    <row r="956" spans="1:12" x14ac:dyDescent="0.25">
      <c r="A956" s="205" t="s">
        <v>312</v>
      </c>
      <c r="B956" s="221" t="s">
        <v>140</v>
      </c>
      <c r="C956" s="221" t="s">
        <v>140</v>
      </c>
      <c r="D956" s="221" t="s">
        <v>140</v>
      </c>
      <c r="E956" s="243">
        <v>2321564</v>
      </c>
      <c r="F956" s="243">
        <v>31000</v>
      </c>
      <c r="G956" s="191" t="s">
        <v>140</v>
      </c>
      <c r="H956" s="243">
        <v>2290564</v>
      </c>
      <c r="I956" s="243">
        <v>0</v>
      </c>
      <c r="J956" s="243">
        <v>0</v>
      </c>
      <c r="K956" s="243">
        <v>0</v>
      </c>
      <c r="L956" s="243">
        <v>2290564</v>
      </c>
    </row>
    <row r="957" spans="1:12" x14ac:dyDescent="0.25">
      <c r="A957" s="205" t="s">
        <v>313</v>
      </c>
      <c r="B957" s="221" t="s">
        <v>140</v>
      </c>
      <c r="C957" s="221" t="s">
        <v>140</v>
      </c>
      <c r="D957" s="221" t="s">
        <v>140</v>
      </c>
      <c r="E957" s="243">
        <v>3688848</v>
      </c>
      <c r="F957" s="243">
        <v>43444</v>
      </c>
      <c r="G957" s="191" t="s">
        <v>140</v>
      </c>
      <c r="H957" s="243">
        <v>3645404</v>
      </c>
      <c r="I957" s="243">
        <v>0</v>
      </c>
      <c r="J957" s="243">
        <v>0</v>
      </c>
      <c r="K957" s="243">
        <v>0</v>
      </c>
      <c r="L957" s="243">
        <v>3645404</v>
      </c>
    </row>
    <row r="958" spans="1:12" x14ac:dyDescent="0.25">
      <c r="A958" s="205" t="s">
        <v>314</v>
      </c>
      <c r="B958" s="221" t="s">
        <v>140</v>
      </c>
      <c r="C958" s="221" t="s">
        <v>140</v>
      </c>
      <c r="D958" s="221" t="s">
        <v>140</v>
      </c>
      <c r="E958" s="243">
        <v>17341691</v>
      </c>
      <c r="F958" s="243">
        <v>11095541</v>
      </c>
      <c r="G958" s="191" t="s">
        <v>140</v>
      </c>
      <c r="H958" s="243">
        <v>6246150</v>
      </c>
      <c r="I958" s="243">
        <v>0</v>
      </c>
      <c r="J958" s="243">
        <v>0</v>
      </c>
      <c r="K958" s="243">
        <v>0</v>
      </c>
      <c r="L958" s="243">
        <v>6246150</v>
      </c>
    </row>
    <row r="959" spans="1:12" x14ac:dyDescent="0.25">
      <c r="A959" s="205" t="s">
        <v>316</v>
      </c>
      <c r="B959" s="221" t="s">
        <v>140</v>
      </c>
      <c r="C959" s="221" t="s">
        <v>140</v>
      </c>
      <c r="D959" s="221" t="s">
        <v>140</v>
      </c>
      <c r="E959" s="243">
        <v>36385291</v>
      </c>
      <c r="F959" s="243">
        <v>27373414</v>
      </c>
      <c r="G959" s="191" t="s">
        <v>140</v>
      </c>
      <c r="H959" s="243">
        <v>9011877</v>
      </c>
      <c r="I959" s="243">
        <v>1000</v>
      </c>
      <c r="J959" s="243">
        <v>0</v>
      </c>
      <c r="K959" s="243">
        <v>1000</v>
      </c>
      <c r="L959" s="243">
        <v>9010877</v>
      </c>
    </row>
    <row r="960" spans="1:12" x14ac:dyDescent="0.25">
      <c r="A960" s="205" t="s">
        <v>318</v>
      </c>
      <c r="B960" s="221" t="s">
        <v>140</v>
      </c>
      <c r="C960" s="221" t="s">
        <v>140</v>
      </c>
      <c r="D960" s="221" t="s">
        <v>140</v>
      </c>
      <c r="E960" s="243">
        <v>69760386</v>
      </c>
      <c r="F960" s="243">
        <v>51723365</v>
      </c>
      <c r="G960" s="191" t="s">
        <v>140</v>
      </c>
      <c r="H960" s="243">
        <v>18037021</v>
      </c>
      <c r="I960" s="243">
        <v>416801</v>
      </c>
      <c r="J960" s="243">
        <v>416801</v>
      </c>
      <c r="K960" s="243">
        <v>0</v>
      </c>
      <c r="L960" s="243">
        <v>18037021</v>
      </c>
    </row>
    <row r="961" spans="1:12" x14ac:dyDescent="0.25">
      <c r="A961" s="205" t="s">
        <v>320</v>
      </c>
      <c r="B961" s="221" t="s">
        <v>140</v>
      </c>
      <c r="C961" s="221" t="s">
        <v>140</v>
      </c>
      <c r="D961" s="221" t="s">
        <v>140</v>
      </c>
      <c r="E961" s="243">
        <v>93259565</v>
      </c>
      <c r="F961" s="243">
        <v>75208470</v>
      </c>
      <c r="G961" s="191" t="s">
        <v>140</v>
      </c>
      <c r="H961" s="243">
        <v>18051095</v>
      </c>
      <c r="I961" s="243">
        <v>0</v>
      </c>
      <c r="J961" s="243">
        <v>0</v>
      </c>
      <c r="K961" s="243">
        <v>0</v>
      </c>
      <c r="L961" s="243">
        <v>18051095</v>
      </c>
    </row>
    <row r="962" spans="1:12" x14ac:dyDescent="0.25">
      <c r="A962" s="205" t="s">
        <v>322</v>
      </c>
      <c r="B962" s="221" t="s">
        <v>140</v>
      </c>
      <c r="C962" s="221" t="s">
        <v>140</v>
      </c>
      <c r="D962" s="221" t="s">
        <v>140</v>
      </c>
      <c r="E962" s="243">
        <v>216482810</v>
      </c>
      <c r="F962" s="243">
        <v>125967914</v>
      </c>
      <c r="G962" s="191" t="s">
        <v>140</v>
      </c>
      <c r="H962" s="243">
        <v>90514896</v>
      </c>
      <c r="I962" s="243">
        <v>1000</v>
      </c>
      <c r="J962" s="243">
        <v>1000</v>
      </c>
      <c r="K962" s="243">
        <v>0</v>
      </c>
      <c r="L962" s="243">
        <v>90514896</v>
      </c>
    </row>
    <row r="963" spans="1:12" x14ac:dyDescent="0.25">
      <c r="A963" s="205" t="s">
        <v>328</v>
      </c>
      <c r="B963" s="221" t="s">
        <v>140</v>
      </c>
      <c r="C963" s="221" t="s">
        <v>140</v>
      </c>
      <c r="D963" s="221" t="s">
        <v>140</v>
      </c>
      <c r="E963" s="243">
        <v>365362586</v>
      </c>
      <c r="F963" s="243">
        <v>254565446</v>
      </c>
      <c r="G963" s="191" t="s">
        <v>140</v>
      </c>
      <c r="H963" s="243">
        <v>110797140</v>
      </c>
      <c r="I963" s="243">
        <v>0</v>
      </c>
      <c r="J963" s="243">
        <v>0</v>
      </c>
      <c r="K963" s="243">
        <v>0</v>
      </c>
      <c r="L963" s="243">
        <v>110797140</v>
      </c>
    </row>
    <row r="964" spans="1:12" x14ac:dyDescent="0.25">
      <c r="A964" s="205" t="s">
        <v>342</v>
      </c>
      <c r="B964" s="221" t="s">
        <v>140</v>
      </c>
      <c r="C964" s="221" t="s">
        <v>140</v>
      </c>
      <c r="D964" s="221" t="s">
        <v>140</v>
      </c>
      <c r="E964" s="243">
        <v>376311387</v>
      </c>
      <c r="F964" s="243">
        <v>275867921</v>
      </c>
      <c r="G964" s="191" t="s">
        <v>140</v>
      </c>
      <c r="H964" s="243">
        <v>100343466</v>
      </c>
      <c r="I964" s="243">
        <v>0</v>
      </c>
      <c r="J964" s="243">
        <v>0</v>
      </c>
      <c r="K964" s="243">
        <v>0</v>
      </c>
      <c r="L964" s="243">
        <v>100343466</v>
      </c>
    </row>
    <row r="965" spans="1:12" x14ac:dyDescent="0.25">
      <c r="A965" s="205" t="s">
        <v>378</v>
      </c>
      <c r="B965" s="221" t="s">
        <v>140</v>
      </c>
      <c r="C965" s="221" t="s">
        <v>140</v>
      </c>
      <c r="D965" s="221" t="s">
        <v>140</v>
      </c>
      <c r="E965" s="243">
        <v>470276090</v>
      </c>
      <c r="F965" s="243">
        <v>363490392</v>
      </c>
      <c r="G965" s="191" t="s">
        <v>140</v>
      </c>
      <c r="H965" s="243">
        <v>106785698</v>
      </c>
      <c r="I965" s="243">
        <v>740238</v>
      </c>
      <c r="J965" s="243">
        <v>33523</v>
      </c>
      <c r="K965" s="243">
        <v>706715</v>
      </c>
      <c r="L965" s="243">
        <v>106078983</v>
      </c>
    </row>
    <row r="966" spans="1:12" x14ac:dyDescent="0.25">
      <c r="A966" s="205" t="s">
        <v>390</v>
      </c>
      <c r="B966" s="221" t="s">
        <v>140</v>
      </c>
      <c r="C966" s="221" t="s">
        <v>140</v>
      </c>
      <c r="D966" s="221" t="s">
        <v>140</v>
      </c>
      <c r="E966" s="243">
        <v>479117718</v>
      </c>
      <c r="F966" s="243">
        <v>380599458</v>
      </c>
      <c r="G966" s="191" t="s">
        <v>140</v>
      </c>
      <c r="H966" s="243">
        <v>98518260</v>
      </c>
      <c r="I966" s="243">
        <v>2272295</v>
      </c>
      <c r="J966" s="243">
        <v>295119</v>
      </c>
      <c r="K966" s="243">
        <v>1977176</v>
      </c>
      <c r="L966" s="243">
        <v>93541084</v>
      </c>
    </row>
    <row r="967" spans="1:12" x14ac:dyDescent="0.25">
      <c r="A967" s="205" t="s">
        <v>396</v>
      </c>
      <c r="B967" s="221" t="s">
        <v>140</v>
      </c>
      <c r="C967" s="221" t="s">
        <v>140</v>
      </c>
      <c r="D967" s="221" t="s">
        <v>140</v>
      </c>
      <c r="E967" s="243">
        <v>479521182</v>
      </c>
      <c r="F967" s="243">
        <v>392806553</v>
      </c>
      <c r="G967" s="191" t="s">
        <v>140</v>
      </c>
      <c r="H967" s="243">
        <v>86714629</v>
      </c>
      <c r="I967" s="243">
        <v>1087600</v>
      </c>
      <c r="J967" s="243">
        <v>1086573</v>
      </c>
      <c r="K967" s="243">
        <v>1027</v>
      </c>
      <c r="L967" s="243">
        <v>86713602</v>
      </c>
    </row>
    <row r="968" spans="1:12" x14ac:dyDescent="0.25">
      <c r="A968" s="205" t="s">
        <v>398</v>
      </c>
      <c r="B968" s="221" t="s">
        <v>140</v>
      </c>
      <c r="C968" s="221" t="s">
        <v>140</v>
      </c>
      <c r="D968" s="221" t="s">
        <v>140</v>
      </c>
      <c r="E968" s="243">
        <v>453651870</v>
      </c>
      <c r="F968" s="243">
        <v>394141865</v>
      </c>
      <c r="G968" s="191" t="s">
        <v>140</v>
      </c>
      <c r="H968" s="243">
        <v>59510005</v>
      </c>
      <c r="I968" s="243">
        <v>2341878</v>
      </c>
      <c r="J968" s="243">
        <v>1649405</v>
      </c>
      <c r="K968" s="243">
        <v>692473</v>
      </c>
      <c r="L968" s="243">
        <v>58817532</v>
      </c>
    </row>
    <row r="969" spans="1:12" x14ac:dyDescent="0.25">
      <c r="A969" s="205" t="s">
        <v>400</v>
      </c>
      <c r="B969" s="221" t="s">
        <v>140</v>
      </c>
      <c r="C969" s="221" t="s">
        <v>140</v>
      </c>
      <c r="D969" s="221" t="s">
        <v>140</v>
      </c>
      <c r="E969" s="243">
        <v>427207125</v>
      </c>
      <c r="F969" s="243">
        <v>382189807</v>
      </c>
      <c r="G969" s="191" t="s">
        <v>140</v>
      </c>
      <c r="H969" s="243">
        <v>45017318</v>
      </c>
      <c r="I969" s="243">
        <v>12998953</v>
      </c>
      <c r="J969" s="243">
        <v>10179156</v>
      </c>
      <c r="K969" s="243">
        <v>2819797</v>
      </c>
      <c r="L969" s="243">
        <v>42197521</v>
      </c>
    </row>
    <row r="970" spans="1:12" x14ac:dyDescent="0.25">
      <c r="A970" s="205" t="s">
        <v>402</v>
      </c>
      <c r="B970" s="221" t="s">
        <v>140</v>
      </c>
      <c r="C970" s="221" t="s">
        <v>140</v>
      </c>
      <c r="D970" s="221" t="s">
        <v>140</v>
      </c>
      <c r="E970" s="243">
        <v>370755137</v>
      </c>
      <c r="F970" s="243">
        <v>346625327</v>
      </c>
      <c r="G970" s="191" t="s">
        <v>140</v>
      </c>
      <c r="H970" s="243">
        <v>24129810</v>
      </c>
      <c r="I970" s="243">
        <v>6102299</v>
      </c>
      <c r="J970" s="243">
        <v>3709101</v>
      </c>
      <c r="K970" s="243">
        <v>2393198</v>
      </c>
      <c r="L970" s="243">
        <v>21736612</v>
      </c>
    </row>
    <row r="971" spans="1:12" x14ac:dyDescent="0.25">
      <c r="A971" s="205" t="s">
        <v>404</v>
      </c>
      <c r="B971" s="221" t="s">
        <v>140</v>
      </c>
      <c r="C971" s="221" t="s">
        <v>140</v>
      </c>
      <c r="D971" s="221" t="s">
        <v>140</v>
      </c>
      <c r="E971" s="243">
        <v>307781613</v>
      </c>
      <c r="F971" s="243">
        <v>293368546</v>
      </c>
      <c r="G971" s="191" t="s">
        <v>140</v>
      </c>
      <c r="H971" s="243">
        <v>14413067</v>
      </c>
      <c r="I971" s="243">
        <v>3551141</v>
      </c>
      <c r="J971" s="243">
        <v>1620797</v>
      </c>
      <c r="K971" s="243">
        <v>1930344</v>
      </c>
      <c r="L971" s="243">
        <v>12482723</v>
      </c>
    </row>
    <row r="972" spans="1:12" x14ac:dyDescent="0.25">
      <c r="A972" s="205" t="s">
        <v>406</v>
      </c>
      <c r="B972" s="221" t="s">
        <v>140</v>
      </c>
      <c r="C972" s="221" t="s">
        <v>140</v>
      </c>
      <c r="D972" s="221" t="s">
        <v>140</v>
      </c>
      <c r="E972" s="243">
        <v>321301010</v>
      </c>
      <c r="F972" s="243">
        <v>313038200</v>
      </c>
      <c r="G972" s="191" t="s">
        <v>140</v>
      </c>
      <c r="H972" s="243">
        <v>8262810</v>
      </c>
      <c r="I972" s="243">
        <v>30205577</v>
      </c>
      <c r="J972" s="243">
        <v>4562729</v>
      </c>
      <c r="K972" s="243">
        <v>25642848</v>
      </c>
      <c r="L972" s="243">
        <v>-17380038</v>
      </c>
    </row>
    <row r="973" spans="1:12" x14ac:dyDescent="0.25">
      <c r="A973" s="205" t="s">
        <v>410</v>
      </c>
      <c r="B973" s="221" t="s">
        <v>140</v>
      </c>
      <c r="C973" s="221" t="s">
        <v>140</v>
      </c>
      <c r="D973" s="221" t="s">
        <v>140</v>
      </c>
      <c r="E973" s="243">
        <v>397097007</v>
      </c>
      <c r="F973" s="243">
        <v>392062400</v>
      </c>
      <c r="G973" s="191" t="s">
        <v>140</v>
      </c>
      <c r="H973" s="243">
        <v>5034607</v>
      </c>
      <c r="I973" s="243">
        <v>49635549</v>
      </c>
      <c r="J973" s="243">
        <v>36119171</v>
      </c>
      <c r="K973" s="243">
        <v>13516378</v>
      </c>
      <c r="L973" s="243">
        <v>-8481771</v>
      </c>
    </row>
    <row r="974" spans="1:12" x14ac:dyDescent="0.25">
      <c r="A974" s="205" t="s">
        <v>412</v>
      </c>
      <c r="B974" s="221" t="s">
        <v>140</v>
      </c>
      <c r="C974" s="221" t="s">
        <v>140</v>
      </c>
      <c r="D974" s="221" t="s">
        <v>140</v>
      </c>
      <c r="E974" s="243">
        <v>306231013</v>
      </c>
      <c r="F974" s="243">
        <v>302749655</v>
      </c>
      <c r="G974" s="191" t="s">
        <v>140</v>
      </c>
      <c r="H974" s="243">
        <v>3481358</v>
      </c>
      <c r="I974" s="243">
        <v>21213288</v>
      </c>
      <c r="J974" s="243">
        <v>21091402</v>
      </c>
      <c r="K974" s="243">
        <v>121886</v>
      </c>
      <c r="L974" s="243">
        <v>3359472</v>
      </c>
    </row>
    <row r="975" spans="1:12" x14ac:dyDescent="0.25">
      <c r="A975" s="205" t="s">
        <v>416</v>
      </c>
      <c r="B975" s="221" t="s">
        <v>140</v>
      </c>
      <c r="C975" s="221" t="s">
        <v>140</v>
      </c>
      <c r="D975" s="221" t="s">
        <v>140</v>
      </c>
      <c r="E975" s="243">
        <v>271888512</v>
      </c>
      <c r="F975" s="243">
        <v>268969947</v>
      </c>
      <c r="G975" s="191" t="s">
        <v>140</v>
      </c>
      <c r="H975" s="243">
        <v>2918565</v>
      </c>
      <c r="I975" s="243">
        <v>7805759</v>
      </c>
      <c r="J975" s="243">
        <v>7767455</v>
      </c>
      <c r="K975" s="243">
        <v>38304</v>
      </c>
      <c r="L975" s="243">
        <v>2880261</v>
      </c>
    </row>
    <row r="976" spans="1:12" x14ac:dyDescent="0.25">
      <c r="A976" s="205" t="s">
        <v>421</v>
      </c>
      <c r="B976" s="221" t="s">
        <v>140</v>
      </c>
      <c r="C976" s="221" t="s">
        <v>140</v>
      </c>
      <c r="D976" s="221" t="s">
        <v>140</v>
      </c>
      <c r="E976" s="243">
        <v>206780256</v>
      </c>
      <c r="F976" s="243">
        <v>204404230</v>
      </c>
      <c r="G976" s="191" t="s">
        <v>140</v>
      </c>
      <c r="H976" s="243">
        <v>2376026</v>
      </c>
      <c r="I976" s="243">
        <v>9671809</v>
      </c>
      <c r="J976" s="243">
        <v>8335922</v>
      </c>
      <c r="K976" s="243">
        <v>1335887</v>
      </c>
      <c r="L976" s="243">
        <v>1040139</v>
      </c>
    </row>
    <row r="977" spans="1:12" x14ac:dyDescent="0.25">
      <c r="A977" s="205" t="s">
        <v>423</v>
      </c>
      <c r="B977" s="221" t="s">
        <v>140</v>
      </c>
      <c r="C977" s="221" t="s">
        <v>140</v>
      </c>
      <c r="D977" s="221" t="s">
        <v>140</v>
      </c>
      <c r="E977" s="243">
        <v>96766913</v>
      </c>
      <c r="F977" s="243">
        <v>94441109</v>
      </c>
      <c r="G977" s="191" t="s">
        <v>140</v>
      </c>
      <c r="H977" s="243">
        <v>2325804</v>
      </c>
      <c r="I977" s="243">
        <v>9346050</v>
      </c>
      <c r="J977" s="243">
        <v>9332615</v>
      </c>
      <c r="K977" s="243">
        <v>13435</v>
      </c>
      <c r="L977" s="243">
        <v>2312369</v>
      </c>
    </row>
    <row r="978" spans="1:12" x14ac:dyDescent="0.25">
      <c r="A978" s="205" t="s">
        <v>425</v>
      </c>
      <c r="B978" s="221" t="s">
        <v>140</v>
      </c>
      <c r="C978" s="221" t="s">
        <v>140</v>
      </c>
      <c r="D978" s="221" t="s">
        <v>140</v>
      </c>
      <c r="E978" s="243">
        <v>77997537</v>
      </c>
      <c r="F978" s="243">
        <v>75747948</v>
      </c>
      <c r="G978" s="191" t="s">
        <v>140</v>
      </c>
      <c r="H978" s="243">
        <v>2249589</v>
      </c>
      <c r="I978" s="243">
        <v>8640889</v>
      </c>
      <c r="J978" s="243">
        <v>8625421</v>
      </c>
      <c r="K978" s="243">
        <v>15468</v>
      </c>
      <c r="L978" s="243">
        <v>2234121</v>
      </c>
    </row>
    <row r="979" spans="1:12" x14ac:dyDescent="0.25">
      <c r="A979" s="205" t="s">
        <v>427</v>
      </c>
      <c r="B979" s="221" t="s">
        <v>140</v>
      </c>
      <c r="C979" s="221" t="s">
        <v>140</v>
      </c>
      <c r="D979" s="221" t="s">
        <v>140</v>
      </c>
      <c r="E979" s="243">
        <v>81068605</v>
      </c>
      <c r="F979" s="243">
        <v>78952207</v>
      </c>
      <c r="G979" s="191" t="s">
        <v>140</v>
      </c>
      <c r="H979" s="243">
        <v>2116398</v>
      </c>
      <c r="I979" s="243">
        <v>10530975</v>
      </c>
      <c r="J979" s="243">
        <v>10520264</v>
      </c>
      <c r="K979" s="243">
        <v>10711</v>
      </c>
      <c r="L979" s="243">
        <v>2105687</v>
      </c>
    </row>
    <row r="980" spans="1:12" x14ac:dyDescent="0.25">
      <c r="A980" s="205" t="s">
        <v>429</v>
      </c>
      <c r="B980" s="221" t="s">
        <v>140</v>
      </c>
      <c r="C980" s="221" t="s">
        <v>140</v>
      </c>
      <c r="D980" s="221" t="s">
        <v>140</v>
      </c>
      <c r="E980" s="243">
        <v>34304426</v>
      </c>
      <c r="F980" s="243">
        <v>32307808</v>
      </c>
      <c r="G980" s="191" t="s">
        <v>140</v>
      </c>
      <c r="H980" s="243">
        <v>1996618</v>
      </c>
      <c r="I980" s="243">
        <v>79460</v>
      </c>
      <c r="J980" s="243">
        <v>78754</v>
      </c>
      <c r="K980" s="243">
        <v>706</v>
      </c>
      <c r="L980" s="243">
        <v>1995912</v>
      </c>
    </row>
    <row r="981" spans="1:12" x14ac:dyDescent="0.25">
      <c r="A981" s="205" t="s">
        <v>563</v>
      </c>
      <c r="B981" s="221" t="s">
        <v>140</v>
      </c>
      <c r="C981" s="221" t="s">
        <v>140</v>
      </c>
      <c r="D981" s="221" t="s">
        <v>140</v>
      </c>
      <c r="E981" s="243">
        <v>60498795</v>
      </c>
      <c r="F981" s="243">
        <v>58158211</v>
      </c>
      <c r="G981" s="191" t="s">
        <v>140</v>
      </c>
      <c r="H981" s="243">
        <v>2340584</v>
      </c>
      <c r="I981" s="243">
        <v>3893180</v>
      </c>
      <c r="J981" s="243">
        <v>3825038</v>
      </c>
      <c r="K981" s="243">
        <v>68142</v>
      </c>
      <c r="L981" s="243">
        <v>2272442</v>
      </c>
    </row>
    <row r="982" spans="1:12" x14ac:dyDescent="0.25">
      <c r="A982" s="205" t="s">
        <v>433</v>
      </c>
      <c r="B982" s="221" t="s">
        <v>140</v>
      </c>
      <c r="C982" s="221" t="s">
        <v>140</v>
      </c>
      <c r="D982" s="221" t="s">
        <v>140</v>
      </c>
      <c r="E982" s="243">
        <v>43009067</v>
      </c>
      <c r="F982" s="243">
        <v>43009067</v>
      </c>
      <c r="G982" s="191" t="s">
        <v>140</v>
      </c>
      <c r="H982" s="243">
        <v>0</v>
      </c>
      <c r="I982" s="243">
        <v>4838266</v>
      </c>
      <c r="J982" s="243">
        <v>4811695</v>
      </c>
      <c r="K982" s="243">
        <v>26571</v>
      </c>
      <c r="L982" s="243">
        <v>-26571</v>
      </c>
    </row>
    <row r="983" spans="1:12" x14ac:dyDescent="0.25">
      <c r="A983" s="205" t="s">
        <v>437</v>
      </c>
      <c r="B983" s="221" t="s">
        <v>140</v>
      </c>
      <c r="C983" s="221" t="s">
        <v>140</v>
      </c>
      <c r="D983" s="221" t="s">
        <v>140</v>
      </c>
      <c r="E983" s="243">
        <v>11520157</v>
      </c>
      <c r="F983" s="243">
        <v>11520157</v>
      </c>
      <c r="G983" s="191" t="s">
        <v>140</v>
      </c>
      <c r="H983" s="243">
        <v>0</v>
      </c>
      <c r="I983" s="243">
        <v>1361039</v>
      </c>
      <c r="J983" s="243">
        <v>1360549</v>
      </c>
      <c r="K983" s="243">
        <v>490</v>
      </c>
      <c r="L983" s="243">
        <v>-490</v>
      </c>
    </row>
    <row r="984" spans="1:12" x14ac:dyDescent="0.25">
      <c r="A984" s="205" t="s">
        <v>567</v>
      </c>
      <c r="B984" s="221" t="s">
        <v>140</v>
      </c>
      <c r="C984" s="221" t="s">
        <v>140</v>
      </c>
      <c r="D984" s="221" t="s">
        <v>140</v>
      </c>
      <c r="E984" s="243">
        <v>15397834</v>
      </c>
      <c r="F984" s="243">
        <v>15397834</v>
      </c>
      <c r="G984" s="191" t="s">
        <v>140</v>
      </c>
      <c r="H984" s="243">
        <v>0</v>
      </c>
      <c r="I984" s="243">
        <v>3960924</v>
      </c>
      <c r="J984" s="243">
        <v>3611255</v>
      </c>
      <c r="K984" s="243">
        <v>349669</v>
      </c>
      <c r="L984" s="243">
        <v>-349669</v>
      </c>
    </row>
    <row r="985" spans="1:12" x14ac:dyDescent="0.25">
      <c r="A985" s="205" t="s">
        <v>569</v>
      </c>
      <c r="B985" s="221" t="s">
        <v>140</v>
      </c>
      <c r="C985" s="221" t="s">
        <v>140</v>
      </c>
      <c r="D985" s="221" t="s">
        <v>140</v>
      </c>
      <c r="E985" s="243">
        <v>17944440</v>
      </c>
      <c r="F985" s="243">
        <v>17944440</v>
      </c>
      <c r="G985" s="191" t="s">
        <v>140</v>
      </c>
      <c r="H985" s="243">
        <v>0</v>
      </c>
      <c r="I985" s="243">
        <v>1565577</v>
      </c>
      <c r="J985" s="243">
        <v>1525010</v>
      </c>
      <c r="K985" s="243">
        <v>40567</v>
      </c>
      <c r="L985" s="243">
        <v>-40567</v>
      </c>
    </row>
    <row r="986" spans="1:12" x14ac:dyDescent="0.25">
      <c r="A986" s="205" t="s">
        <v>571</v>
      </c>
      <c r="B986" s="221" t="s">
        <v>140</v>
      </c>
      <c r="C986" s="221" t="s">
        <v>140</v>
      </c>
      <c r="D986" s="221" t="s">
        <v>140</v>
      </c>
      <c r="E986" s="243">
        <v>8195968</v>
      </c>
      <c r="F986" s="243">
        <v>8195968</v>
      </c>
      <c r="G986" s="191" t="s">
        <v>140</v>
      </c>
      <c r="H986" s="243">
        <v>0</v>
      </c>
      <c r="I986" s="243">
        <v>880183</v>
      </c>
      <c r="J986" s="243">
        <v>879682</v>
      </c>
      <c r="K986" s="243">
        <v>501</v>
      </c>
      <c r="L986" s="243">
        <v>-501</v>
      </c>
    </row>
    <row r="987" spans="1:12" x14ac:dyDescent="0.25">
      <c r="A987" s="205" t="s">
        <v>573</v>
      </c>
      <c r="B987" s="221" t="s">
        <v>140</v>
      </c>
      <c r="C987" s="221" t="s">
        <v>140</v>
      </c>
      <c r="D987" s="221" t="s">
        <v>140</v>
      </c>
      <c r="E987" s="243">
        <v>8055062</v>
      </c>
      <c r="F987" s="243">
        <v>8055062</v>
      </c>
      <c r="G987" s="191" t="s">
        <v>140</v>
      </c>
      <c r="H987" s="243">
        <v>0</v>
      </c>
      <c r="I987" s="243">
        <v>803598</v>
      </c>
      <c r="J987" s="243">
        <v>803123</v>
      </c>
      <c r="K987" s="243">
        <v>475</v>
      </c>
      <c r="L987" s="243">
        <v>-475</v>
      </c>
    </row>
    <row r="988" spans="1:12" x14ac:dyDescent="0.25">
      <c r="A988" s="205" t="s">
        <v>575</v>
      </c>
      <c r="B988" s="221" t="s">
        <v>140</v>
      </c>
      <c r="C988" s="221" t="s">
        <v>140</v>
      </c>
      <c r="D988" s="221" t="s">
        <v>140</v>
      </c>
      <c r="E988" s="243">
        <v>7376797</v>
      </c>
      <c r="F988" s="243">
        <v>7376797</v>
      </c>
      <c r="G988" s="191" t="s">
        <v>140</v>
      </c>
      <c r="H988" s="243">
        <v>0</v>
      </c>
      <c r="I988" s="243">
        <v>727817</v>
      </c>
      <c r="J988" s="243">
        <v>726917</v>
      </c>
      <c r="K988" s="243">
        <v>900</v>
      </c>
      <c r="L988" s="243">
        <v>-900</v>
      </c>
    </row>
    <row r="989" spans="1:12" x14ac:dyDescent="0.25">
      <c r="A989" s="205" t="s">
        <v>577</v>
      </c>
      <c r="B989" s="221" t="s">
        <v>140</v>
      </c>
      <c r="C989" s="221" t="s">
        <v>140</v>
      </c>
      <c r="D989" s="221" t="s">
        <v>140</v>
      </c>
      <c r="E989" s="243">
        <v>7513308</v>
      </c>
      <c r="F989" s="243">
        <v>7513308</v>
      </c>
      <c r="G989" s="191" t="s">
        <v>140</v>
      </c>
      <c r="H989" s="243">
        <v>0</v>
      </c>
      <c r="I989" s="243">
        <v>588899</v>
      </c>
      <c r="J989" s="243">
        <v>588367</v>
      </c>
      <c r="K989" s="243">
        <v>532</v>
      </c>
      <c r="L989" s="243">
        <v>-532</v>
      </c>
    </row>
    <row r="990" spans="1:12" ht="15.75" customHeight="1" x14ac:dyDescent="0.25">
      <c r="A990" s="202" t="s">
        <v>29</v>
      </c>
      <c r="B990" s="218" t="s">
        <v>140</v>
      </c>
      <c r="C990" s="218" t="s">
        <v>140</v>
      </c>
      <c r="D990" s="218" t="s">
        <v>140</v>
      </c>
      <c r="E990" s="244">
        <f>SUBTOTAL(109,schoolgrandtotal[Program
Costs])</f>
        <v>6144637872</v>
      </c>
      <c r="F990" s="244">
        <f>SUBTOTAL(109,schoolgrandtotal[Less: Net Payments and Offsets2])</f>
        <v>5315015811</v>
      </c>
      <c r="G990" s="218" t="s">
        <v>140</v>
      </c>
      <c r="H990" s="244">
        <f>SUBTOTAL(109,schoolgrandtotal[Accounts Payable
Balance])</f>
        <v>829522061</v>
      </c>
      <c r="I990" s="244">
        <f>SUBTOTAL(109,schoolgrandtotal[Established
Accounts Receivable])</f>
        <v>195262044</v>
      </c>
      <c r="J990" s="244">
        <f>SUBTOTAL(109,schoolgrandtotal[Less: Recovered Amount])</f>
        <v>143556844</v>
      </c>
      <c r="K990" s="244">
        <f>SUBTOTAL(109,schoolgrandtotal[Accounts Receivable
Balance])</f>
        <v>51705200</v>
      </c>
      <c r="L990" s="244">
        <f>SUBTOTAL(109,schoolgrandtotal[Net
Balance])</f>
        <v>774816861</v>
      </c>
    </row>
    <row r="991" spans="1:12" x14ac:dyDescent="0.25">
      <c r="A991" s="13" t="s">
        <v>652</v>
      </c>
    </row>
    <row r="992" spans="1:12" ht="18.75" x14ac:dyDescent="0.25">
      <c r="A992" s="224" t="s">
        <v>579</v>
      </c>
    </row>
  </sheetData>
  <hyperlinks>
    <hyperlink ref="F2" location="'Schedule B1-Schools'!A991" display="Less: Net Payments and Offsets2"/>
  </hyperlinks>
  <printOptions horizontalCentered="1" gridLines="1"/>
  <pageMargins left="0.3" right="0.3" top="0.75" bottom="0.75" header="0.3" footer="0.3"/>
  <pageSetup scale="59" fitToHeight="0" orientation="landscape" r:id="rId1"/>
  <headerFooter>
    <oddFooter>&amp;LSchedule B1: Detail of Funded State-Mandated Programs by Fiscal Year
School Districts&amp;RPage &amp;P of &amp;N</oddFooter>
  </headerFooter>
  <rowBreaks count="1" manualBreakCount="1">
    <brk id="872" max="11" man="1"/>
  </rowBreaks>
  <legacyDrawing r:id="rId2"/>
  <tableParts count="3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  <tablePart r:id="rId39"/>
    <tablePart r:id="rId40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146"/>
  <sheetViews>
    <sheetView zoomScaleNormal="100" workbookViewId="0">
      <selection activeCell="A6" sqref="A6"/>
    </sheetView>
  </sheetViews>
  <sheetFormatPr defaultColWidth="9.140625" defaultRowHeight="15.75" x14ac:dyDescent="0.25"/>
  <cols>
    <col min="1" max="1" width="37" style="208" customWidth="1"/>
    <col min="2" max="2" width="35.7109375" style="206" customWidth="1"/>
    <col min="3" max="3" width="12.5703125" style="207" customWidth="1"/>
    <col min="4" max="4" width="20.5703125" style="208" customWidth="1"/>
    <col min="5" max="6" width="18.7109375" style="233" customWidth="1"/>
    <col min="7" max="7" width="2.5703125" style="233" customWidth="1"/>
    <col min="8" max="8" width="18.7109375" style="233" customWidth="1"/>
    <col min="9" max="11" width="17.5703125" style="233" customWidth="1"/>
    <col min="12" max="12" width="18.7109375" style="233" customWidth="1"/>
    <col min="13" max="16384" width="9.140625" style="151"/>
  </cols>
  <sheetData>
    <row r="1" spans="1:12" ht="54" x14ac:dyDescent="0.25">
      <c r="A1" s="7" t="s">
        <v>440</v>
      </c>
      <c r="B1" s="9"/>
      <c r="C1" s="9"/>
      <c r="D1" s="9"/>
      <c r="E1" s="225"/>
      <c r="F1" s="225"/>
      <c r="G1" s="226"/>
      <c r="H1" s="225"/>
      <c r="I1" s="225"/>
      <c r="J1" s="225"/>
      <c r="K1" s="225"/>
      <c r="L1" s="225"/>
    </row>
    <row r="2" spans="1:12" ht="50.1" customHeight="1" x14ac:dyDescent="0.25">
      <c r="A2" s="10" t="s">
        <v>5</v>
      </c>
      <c r="B2" s="10" t="s">
        <v>6</v>
      </c>
      <c r="C2" s="10" t="s">
        <v>0</v>
      </c>
      <c r="D2" s="10" t="s">
        <v>139</v>
      </c>
      <c r="E2" s="215" t="s">
        <v>234</v>
      </c>
      <c r="F2" s="227" t="s">
        <v>442</v>
      </c>
      <c r="G2" s="217" t="s">
        <v>580</v>
      </c>
      <c r="H2" s="215" t="s">
        <v>444</v>
      </c>
      <c r="I2" s="215" t="s">
        <v>445</v>
      </c>
      <c r="J2" s="215" t="s">
        <v>446</v>
      </c>
      <c r="K2" s="215" t="s">
        <v>447</v>
      </c>
      <c r="L2" s="215" t="s">
        <v>305</v>
      </c>
    </row>
    <row r="3" spans="1:12" ht="45.75" x14ac:dyDescent="0.25">
      <c r="A3" s="83" t="s">
        <v>317</v>
      </c>
      <c r="B3" s="201" t="s">
        <v>72</v>
      </c>
      <c r="C3" s="5" t="s">
        <v>13</v>
      </c>
      <c r="D3" s="83">
        <v>232</v>
      </c>
      <c r="E3" s="292">
        <v>54721</v>
      </c>
      <c r="F3" s="292">
        <v>8356</v>
      </c>
      <c r="G3" s="191" t="s">
        <v>140</v>
      </c>
      <c r="H3" s="292">
        <v>46365</v>
      </c>
      <c r="I3" s="292">
        <v>0</v>
      </c>
      <c r="J3" s="292">
        <v>0</v>
      </c>
      <c r="K3" s="292">
        <v>0</v>
      </c>
      <c r="L3" s="292">
        <v>46365</v>
      </c>
    </row>
    <row r="4" spans="1:12" ht="30.75" customHeight="1" x14ac:dyDescent="0.25">
      <c r="A4" s="83" t="s">
        <v>317</v>
      </c>
      <c r="B4" s="201" t="s">
        <v>581</v>
      </c>
      <c r="C4" s="5" t="s">
        <v>488</v>
      </c>
      <c r="D4" s="83">
        <v>267</v>
      </c>
      <c r="E4" s="292">
        <v>321143</v>
      </c>
      <c r="F4" s="292">
        <v>121251</v>
      </c>
      <c r="G4" s="191" t="s">
        <v>140</v>
      </c>
      <c r="H4" s="292">
        <v>199892</v>
      </c>
      <c r="I4" s="292">
        <v>0</v>
      </c>
      <c r="J4" s="292">
        <v>0</v>
      </c>
      <c r="K4" s="292">
        <v>0</v>
      </c>
      <c r="L4" s="292">
        <v>199892</v>
      </c>
    </row>
    <row r="5" spans="1:12" x14ac:dyDescent="0.25">
      <c r="A5" s="83" t="s">
        <v>317</v>
      </c>
      <c r="B5" s="201" t="s">
        <v>582</v>
      </c>
      <c r="C5" s="5" t="s">
        <v>583</v>
      </c>
      <c r="D5" s="83">
        <v>347</v>
      </c>
      <c r="E5" s="292">
        <v>0</v>
      </c>
      <c r="F5" s="292">
        <v>0</v>
      </c>
      <c r="G5" s="191" t="s">
        <v>140</v>
      </c>
      <c r="H5" s="292">
        <v>0</v>
      </c>
      <c r="I5" s="292">
        <v>1000</v>
      </c>
      <c r="J5" s="292">
        <v>0</v>
      </c>
      <c r="K5" s="292">
        <v>1000</v>
      </c>
      <c r="L5" s="292">
        <v>-1000</v>
      </c>
    </row>
    <row r="6" spans="1:12" x14ac:dyDescent="0.25">
      <c r="A6" s="202" t="s">
        <v>318</v>
      </c>
      <c r="B6" s="87" t="s">
        <v>140</v>
      </c>
      <c r="C6" s="87" t="s">
        <v>140</v>
      </c>
      <c r="D6" s="87" t="s">
        <v>140</v>
      </c>
      <c r="E6" s="244">
        <f>SUBTOTAL(109,college201415[Program
Costs])</f>
        <v>375864</v>
      </c>
      <c r="F6" s="244">
        <f>SUBTOTAL(109,college201415[Less: Net Payments and Offsets2])</f>
        <v>129607</v>
      </c>
      <c r="G6" s="87" t="s">
        <v>140</v>
      </c>
      <c r="H6" s="244">
        <f>SUBTOTAL(109,college201415[Accounts Payable
Balance])</f>
        <v>246257</v>
      </c>
      <c r="I6" s="244">
        <f>SUBTOTAL(109,college201415[Established
Accounts Receivable])</f>
        <v>1000</v>
      </c>
      <c r="J6" s="244">
        <f>SUBTOTAL(109,college201415[Less: Recovered Amount])</f>
        <v>0</v>
      </c>
      <c r="K6" s="244">
        <f>SUBTOTAL(109,college201415[Accounts Receivable
Balance])</f>
        <v>1000</v>
      </c>
      <c r="L6" s="244">
        <f>SUBTOTAL(109,college201415[Net
Balance])</f>
        <v>245257</v>
      </c>
    </row>
    <row r="7" spans="1:12" x14ac:dyDescent="0.25">
      <c r="A7" s="195" t="s">
        <v>141</v>
      </c>
      <c r="B7" s="201"/>
      <c r="C7" s="5"/>
      <c r="D7" s="83"/>
      <c r="E7" s="193"/>
      <c r="F7" s="193"/>
      <c r="G7" s="228"/>
      <c r="H7" s="193"/>
      <c r="I7" s="193"/>
      <c r="J7" s="193"/>
      <c r="K7" s="193"/>
      <c r="L7" s="193"/>
    </row>
    <row r="8" spans="1:12" ht="50.1" customHeight="1" x14ac:dyDescent="0.25">
      <c r="A8" s="10" t="s">
        <v>5</v>
      </c>
      <c r="B8" s="10" t="s">
        <v>6</v>
      </c>
      <c r="C8" s="10" t="s">
        <v>0</v>
      </c>
      <c r="D8" s="10" t="s">
        <v>139</v>
      </c>
      <c r="E8" s="215" t="s">
        <v>234</v>
      </c>
      <c r="F8" s="216" t="s">
        <v>452</v>
      </c>
      <c r="G8" s="217" t="s">
        <v>142</v>
      </c>
      <c r="H8" s="215" t="s">
        <v>444</v>
      </c>
      <c r="I8" s="215" t="s">
        <v>445</v>
      </c>
      <c r="J8" s="215" t="s">
        <v>446</v>
      </c>
      <c r="K8" s="215" t="s">
        <v>447</v>
      </c>
      <c r="L8" s="215" t="s">
        <v>305</v>
      </c>
    </row>
    <row r="9" spans="1:12" ht="30.75" customHeight="1" x14ac:dyDescent="0.25">
      <c r="A9" s="83" t="s">
        <v>319</v>
      </c>
      <c r="B9" s="201" t="s">
        <v>72</v>
      </c>
      <c r="C9" s="5" t="s">
        <v>13</v>
      </c>
      <c r="D9" s="83">
        <v>232</v>
      </c>
      <c r="E9" s="292">
        <v>488941</v>
      </c>
      <c r="F9" s="292">
        <v>439154</v>
      </c>
      <c r="G9" s="191" t="s">
        <v>140</v>
      </c>
      <c r="H9" s="192">
        <v>49787</v>
      </c>
      <c r="I9" s="192">
        <v>0</v>
      </c>
      <c r="J9" s="192">
        <v>0</v>
      </c>
      <c r="K9" s="192">
        <v>0</v>
      </c>
      <c r="L9" s="192">
        <v>49787</v>
      </c>
    </row>
    <row r="10" spans="1:12" ht="30.75" x14ac:dyDescent="0.25">
      <c r="A10" s="83" t="s">
        <v>319</v>
      </c>
      <c r="B10" s="201" t="s">
        <v>581</v>
      </c>
      <c r="C10" s="5" t="s">
        <v>488</v>
      </c>
      <c r="D10" s="83">
        <v>267</v>
      </c>
      <c r="E10" s="292">
        <v>390536</v>
      </c>
      <c r="F10" s="292">
        <v>241191</v>
      </c>
      <c r="G10" s="191" t="s">
        <v>140</v>
      </c>
      <c r="H10" s="192">
        <v>149345</v>
      </c>
      <c r="I10" s="192">
        <v>0</v>
      </c>
      <c r="J10" s="192">
        <v>0</v>
      </c>
      <c r="K10" s="192">
        <v>0</v>
      </c>
      <c r="L10" s="192">
        <v>149345</v>
      </c>
    </row>
    <row r="11" spans="1:12" x14ac:dyDescent="0.25">
      <c r="A11" s="83" t="s">
        <v>319</v>
      </c>
      <c r="B11" s="201" t="s">
        <v>582</v>
      </c>
      <c r="C11" s="5" t="s">
        <v>583</v>
      </c>
      <c r="D11" s="83">
        <v>347</v>
      </c>
      <c r="E11" s="292">
        <v>0</v>
      </c>
      <c r="F11" s="292">
        <v>0</v>
      </c>
      <c r="G11" s="191" t="s">
        <v>140</v>
      </c>
      <c r="H11" s="192">
        <v>0</v>
      </c>
      <c r="I11" s="192">
        <v>1000</v>
      </c>
      <c r="J11" s="192">
        <v>0</v>
      </c>
      <c r="K11" s="192">
        <v>1000</v>
      </c>
      <c r="L11" s="192">
        <v>-1000</v>
      </c>
    </row>
    <row r="12" spans="1:12" x14ac:dyDescent="0.25">
      <c r="A12" s="202" t="s">
        <v>320</v>
      </c>
      <c r="B12" s="87" t="s">
        <v>140</v>
      </c>
      <c r="C12" s="87" t="s">
        <v>140</v>
      </c>
      <c r="D12" s="87" t="s">
        <v>140</v>
      </c>
      <c r="E12" s="244">
        <f>SUBTOTAL(109,college201314[Program
Costs])</f>
        <v>879477</v>
      </c>
      <c r="F12" s="244">
        <f>SUBTOTAL(109,college201314[Less: Net Payments and Offsets2])</f>
        <v>680345</v>
      </c>
      <c r="G12" s="87" t="s">
        <v>140</v>
      </c>
      <c r="H12" s="80">
        <f>SUBTOTAL(109,college201314[Accounts Payable
Balance])</f>
        <v>199132</v>
      </c>
      <c r="I12" s="80">
        <f>SUBTOTAL(109,college201314[Established
Accounts Receivable])</f>
        <v>1000</v>
      </c>
      <c r="J12" s="80">
        <f>SUBTOTAL(109,college201314[Less: Recovered Amount])</f>
        <v>0</v>
      </c>
      <c r="K12" s="80">
        <f>SUBTOTAL(109,college201314[Accounts Receivable
Balance])</f>
        <v>1000</v>
      </c>
      <c r="L12" s="80">
        <f>SUBTOTAL(109,college201314[Net
Balance])</f>
        <v>198132</v>
      </c>
    </row>
    <row r="13" spans="1:12" x14ac:dyDescent="0.25">
      <c r="A13" s="195" t="s">
        <v>141</v>
      </c>
      <c r="B13" s="201"/>
      <c r="C13" s="5"/>
      <c r="D13" s="83"/>
      <c r="E13" s="193"/>
      <c r="F13" s="193"/>
      <c r="G13" s="228"/>
      <c r="H13" s="193"/>
      <c r="I13" s="193"/>
      <c r="J13" s="193"/>
      <c r="K13" s="193"/>
      <c r="L13" s="193"/>
    </row>
    <row r="14" spans="1:12" ht="50.1" customHeight="1" x14ac:dyDescent="0.25">
      <c r="A14" s="10" t="s">
        <v>5</v>
      </c>
      <c r="B14" s="10" t="s">
        <v>6</v>
      </c>
      <c r="C14" s="10" t="s">
        <v>0</v>
      </c>
      <c r="D14" s="10" t="s">
        <v>139</v>
      </c>
      <c r="E14" s="215" t="s">
        <v>234</v>
      </c>
      <c r="F14" s="216" t="s">
        <v>452</v>
      </c>
      <c r="G14" s="217" t="s">
        <v>142</v>
      </c>
      <c r="H14" s="215" t="s">
        <v>444</v>
      </c>
      <c r="I14" s="215" t="s">
        <v>445</v>
      </c>
      <c r="J14" s="215" t="s">
        <v>446</v>
      </c>
      <c r="K14" s="215" t="s">
        <v>447</v>
      </c>
      <c r="L14" s="215" t="s">
        <v>305</v>
      </c>
    </row>
    <row r="15" spans="1:12" ht="15" customHeight="1" x14ac:dyDescent="0.25">
      <c r="A15" s="83" t="s">
        <v>321</v>
      </c>
      <c r="B15" s="201" t="s">
        <v>72</v>
      </c>
      <c r="C15" s="5" t="s">
        <v>13</v>
      </c>
      <c r="D15" s="83">
        <v>232</v>
      </c>
      <c r="E15" s="290">
        <v>233153</v>
      </c>
      <c r="F15" s="290">
        <v>161629</v>
      </c>
      <c r="G15" s="191" t="s">
        <v>140</v>
      </c>
      <c r="H15" s="192">
        <v>71524</v>
      </c>
      <c r="I15" s="192">
        <v>0</v>
      </c>
      <c r="J15" s="192">
        <v>0</v>
      </c>
      <c r="K15" s="192">
        <v>0</v>
      </c>
      <c r="L15" s="192">
        <v>71524</v>
      </c>
    </row>
    <row r="16" spans="1:12" ht="30.75" x14ac:dyDescent="0.25">
      <c r="A16" s="83" t="s">
        <v>321</v>
      </c>
      <c r="B16" s="201" t="s">
        <v>581</v>
      </c>
      <c r="C16" s="5" t="s">
        <v>488</v>
      </c>
      <c r="D16" s="83">
        <v>267</v>
      </c>
      <c r="E16" s="290">
        <v>536777</v>
      </c>
      <c r="F16" s="290">
        <v>237059</v>
      </c>
      <c r="G16" s="191" t="s">
        <v>140</v>
      </c>
      <c r="H16" s="192">
        <v>299718</v>
      </c>
      <c r="I16" s="192">
        <v>0</v>
      </c>
      <c r="J16" s="192">
        <v>0</v>
      </c>
      <c r="K16" s="192">
        <v>0</v>
      </c>
      <c r="L16" s="192">
        <v>299718</v>
      </c>
    </row>
    <row r="17" spans="1:12" ht="30.75" x14ac:dyDescent="0.25">
      <c r="A17" s="83" t="s">
        <v>321</v>
      </c>
      <c r="B17" s="201" t="s">
        <v>492</v>
      </c>
      <c r="C17" s="5" t="s">
        <v>339</v>
      </c>
      <c r="D17" s="83">
        <v>320</v>
      </c>
      <c r="E17" s="290">
        <v>75416</v>
      </c>
      <c r="F17" s="290">
        <v>57555</v>
      </c>
      <c r="G17" s="191" t="s">
        <v>140</v>
      </c>
      <c r="H17" s="192">
        <v>17861</v>
      </c>
      <c r="I17" s="192">
        <v>0</v>
      </c>
      <c r="J17" s="192">
        <v>0</v>
      </c>
      <c r="K17" s="192">
        <v>0</v>
      </c>
      <c r="L17" s="192">
        <v>17861</v>
      </c>
    </row>
    <row r="18" spans="1:12" x14ac:dyDescent="0.25">
      <c r="A18" s="83" t="s">
        <v>321</v>
      </c>
      <c r="B18" s="201" t="s">
        <v>582</v>
      </c>
      <c r="C18" s="5" t="s">
        <v>583</v>
      </c>
      <c r="D18" s="83">
        <v>347</v>
      </c>
      <c r="E18" s="290">
        <v>0</v>
      </c>
      <c r="F18" s="290">
        <v>0</v>
      </c>
      <c r="G18" s="191" t="s">
        <v>140</v>
      </c>
      <c r="H18" s="192">
        <v>0</v>
      </c>
      <c r="I18" s="192">
        <v>1000</v>
      </c>
      <c r="J18" s="192">
        <v>0</v>
      </c>
      <c r="K18" s="192">
        <v>1000</v>
      </c>
      <c r="L18" s="192">
        <v>-1000</v>
      </c>
    </row>
    <row r="19" spans="1:12" ht="15.75" customHeight="1" x14ac:dyDescent="0.25">
      <c r="A19" s="83" t="s">
        <v>321</v>
      </c>
      <c r="B19" s="201" t="s">
        <v>584</v>
      </c>
      <c r="C19" s="5" t="s">
        <v>327</v>
      </c>
      <c r="D19" s="83">
        <v>238</v>
      </c>
      <c r="E19" s="290">
        <v>77295</v>
      </c>
      <c r="F19" s="290">
        <v>69101</v>
      </c>
      <c r="G19" s="191" t="s">
        <v>140</v>
      </c>
      <c r="H19" s="192">
        <v>8194</v>
      </c>
      <c r="I19" s="192">
        <v>0</v>
      </c>
      <c r="J19" s="192">
        <v>0</v>
      </c>
      <c r="K19" s="192">
        <v>0</v>
      </c>
      <c r="L19" s="192">
        <v>8194</v>
      </c>
    </row>
    <row r="20" spans="1:12" x14ac:dyDescent="0.25">
      <c r="A20" s="202" t="s">
        <v>322</v>
      </c>
      <c r="B20" s="87" t="s">
        <v>140</v>
      </c>
      <c r="C20" s="87" t="s">
        <v>140</v>
      </c>
      <c r="D20" s="87" t="s">
        <v>140</v>
      </c>
      <c r="E20" s="242">
        <f>SUBTOTAL(109,college201213[Program
Costs])</f>
        <v>922641</v>
      </c>
      <c r="F20" s="242">
        <f>SUBTOTAL(109,college201213[Less: Net Payments and Offsets2])</f>
        <v>525344</v>
      </c>
      <c r="G20" s="87" t="s">
        <v>140</v>
      </c>
      <c r="H20" s="80">
        <f>SUBTOTAL(109,college201213[Accounts Payable
Balance])</f>
        <v>397297</v>
      </c>
      <c r="I20" s="80">
        <f>SUBTOTAL(109,college201213[Established
Accounts Receivable])</f>
        <v>1000</v>
      </c>
      <c r="J20" s="80">
        <f>SUBTOTAL(109,college201213[Less: Recovered Amount])</f>
        <v>0</v>
      </c>
      <c r="K20" s="80">
        <f>SUBTOTAL(109,college201213[Accounts Receivable
Balance])</f>
        <v>1000</v>
      </c>
      <c r="L20" s="80">
        <f>SUBTOTAL(109,college201213[Net
Balance])</f>
        <v>396297</v>
      </c>
    </row>
    <row r="21" spans="1:12" x14ac:dyDescent="0.25">
      <c r="A21" s="195" t="s">
        <v>141</v>
      </c>
      <c r="B21" s="201"/>
      <c r="C21" s="5"/>
      <c r="D21" s="83"/>
      <c r="E21" s="193"/>
      <c r="F21" s="193"/>
      <c r="G21" s="228"/>
      <c r="H21" s="193"/>
      <c r="I21" s="193"/>
      <c r="J21" s="193"/>
      <c r="K21" s="193"/>
      <c r="L21" s="193"/>
    </row>
    <row r="22" spans="1:12" ht="50.1" customHeight="1" x14ac:dyDescent="0.25">
      <c r="A22" s="10" t="s">
        <v>5</v>
      </c>
      <c r="B22" s="10" t="s">
        <v>6</v>
      </c>
      <c r="C22" s="10" t="s">
        <v>0</v>
      </c>
      <c r="D22" s="10" t="s">
        <v>139</v>
      </c>
      <c r="E22" s="215" t="s">
        <v>234</v>
      </c>
      <c r="F22" s="216" t="s">
        <v>452</v>
      </c>
      <c r="G22" s="217" t="s">
        <v>142</v>
      </c>
      <c r="H22" s="215" t="s">
        <v>444</v>
      </c>
      <c r="I22" s="215" t="s">
        <v>445</v>
      </c>
      <c r="J22" s="215" t="s">
        <v>446</v>
      </c>
      <c r="K22" s="215" t="s">
        <v>447</v>
      </c>
      <c r="L22" s="215" t="s">
        <v>305</v>
      </c>
    </row>
    <row r="23" spans="1:12" ht="45.75" x14ac:dyDescent="0.25">
      <c r="A23" s="83" t="s">
        <v>323</v>
      </c>
      <c r="B23" s="201" t="s">
        <v>72</v>
      </c>
      <c r="C23" s="5" t="s">
        <v>13</v>
      </c>
      <c r="D23" s="83">
        <v>232</v>
      </c>
      <c r="E23" s="292">
        <v>3644350</v>
      </c>
      <c r="F23" s="292">
        <v>3444323</v>
      </c>
      <c r="G23" s="191" t="s">
        <v>140</v>
      </c>
      <c r="H23" s="292">
        <v>200027</v>
      </c>
      <c r="I23" s="292">
        <v>0</v>
      </c>
      <c r="J23" s="292">
        <v>0</v>
      </c>
      <c r="K23" s="292">
        <v>0</v>
      </c>
      <c r="L23" s="292">
        <v>200027</v>
      </c>
    </row>
    <row r="24" spans="1:12" ht="15" customHeight="1" x14ac:dyDescent="0.25">
      <c r="A24" s="83" t="s">
        <v>323</v>
      </c>
      <c r="B24" s="201" t="s">
        <v>585</v>
      </c>
      <c r="C24" s="5" t="s">
        <v>586</v>
      </c>
      <c r="D24" s="83">
        <v>332</v>
      </c>
      <c r="E24" s="292">
        <v>141970</v>
      </c>
      <c r="F24" s="292">
        <v>86745</v>
      </c>
      <c r="G24" s="191" t="s">
        <v>140</v>
      </c>
      <c r="H24" s="292">
        <v>55225</v>
      </c>
      <c r="I24" s="292">
        <v>0</v>
      </c>
      <c r="J24" s="292">
        <v>0</v>
      </c>
      <c r="K24" s="292">
        <v>0</v>
      </c>
      <c r="L24" s="292">
        <v>55225</v>
      </c>
    </row>
    <row r="25" spans="1:12" ht="30.75" x14ac:dyDescent="0.25">
      <c r="A25" s="83" t="s">
        <v>323</v>
      </c>
      <c r="B25" s="201" t="s">
        <v>581</v>
      </c>
      <c r="C25" s="5" t="s">
        <v>488</v>
      </c>
      <c r="D25" s="83">
        <v>267</v>
      </c>
      <c r="E25" s="292">
        <v>3224800</v>
      </c>
      <c r="F25" s="292">
        <v>2793676</v>
      </c>
      <c r="G25" s="191" t="s">
        <v>140</v>
      </c>
      <c r="H25" s="292">
        <v>431124</v>
      </c>
      <c r="I25" s="292">
        <v>0</v>
      </c>
      <c r="J25" s="292">
        <v>0</v>
      </c>
      <c r="K25" s="292">
        <v>0</v>
      </c>
      <c r="L25" s="292">
        <v>431124</v>
      </c>
    </row>
    <row r="26" spans="1:12" ht="30.75" x14ac:dyDescent="0.25">
      <c r="A26" s="83" t="s">
        <v>323</v>
      </c>
      <c r="B26" s="201" t="s">
        <v>587</v>
      </c>
      <c r="C26" s="5" t="s">
        <v>588</v>
      </c>
      <c r="D26" s="83">
        <v>234</v>
      </c>
      <c r="E26" s="292">
        <v>5088326</v>
      </c>
      <c r="F26" s="292">
        <v>4654500</v>
      </c>
      <c r="G26" s="191" t="s">
        <v>140</v>
      </c>
      <c r="H26" s="292">
        <v>433826</v>
      </c>
      <c r="I26" s="292">
        <v>0</v>
      </c>
      <c r="J26" s="292">
        <v>0</v>
      </c>
      <c r="K26" s="292">
        <v>0</v>
      </c>
      <c r="L26" s="292">
        <v>433826</v>
      </c>
    </row>
    <row r="27" spans="1:12" ht="30.75" x14ac:dyDescent="0.25">
      <c r="A27" s="83" t="s">
        <v>323</v>
      </c>
      <c r="B27" s="201" t="s">
        <v>492</v>
      </c>
      <c r="C27" s="5" t="s">
        <v>339</v>
      </c>
      <c r="D27" s="83">
        <v>320</v>
      </c>
      <c r="E27" s="292">
        <v>594187</v>
      </c>
      <c r="F27" s="292">
        <v>543655</v>
      </c>
      <c r="G27" s="191" t="s">
        <v>140</v>
      </c>
      <c r="H27" s="292">
        <v>50532</v>
      </c>
      <c r="I27" s="292">
        <v>0</v>
      </c>
      <c r="J27" s="292">
        <v>0</v>
      </c>
      <c r="K27" s="292">
        <v>0</v>
      </c>
      <c r="L27" s="292">
        <v>50532</v>
      </c>
    </row>
    <row r="28" spans="1:12" x14ac:dyDescent="0.25">
      <c r="A28" s="83" t="s">
        <v>323</v>
      </c>
      <c r="B28" s="201" t="s">
        <v>582</v>
      </c>
      <c r="C28" s="5" t="s">
        <v>583</v>
      </c>
      <c r="D28" s="83">
        <v>347</v>
      </c>
      <c r="E28" s="292">
        <v>5570956</v>
      </c>
      <c r="F28" s="292">
        <v>3907483</v>
      </c>
      <c r="G28" s="191" t="s">
        <v>140</v>
      </c>
      <c r="H28" s="292">
        <v>1663473</v>
      </c>
      <c r="I28" s="292">
        <v>0</v>
      </c>
      <c r="J28" s="292">
        <v>0</v>
      </c>
      <c r="K28" s="292">
        <v>0</v>
      </c>
      <c r="L28" s="292">
        <v>1663473</v>
      </c>
    </row>
    <row r="29" spans="1:12" ht="15.75" customHeight="1" x14ac:dyDescent="0.25">
      <c r="A29" s="83" t="s">
        <v>323</v>
      </c>
      <c r="B29" s="201" t="s">
        <v>584</v>
      </c>
      <c r="C29" s="5" t="s">
        <v>327</v>
      </c>
      <c r="D29" s="83">
        <v>238</v>
      </c>
      <c r="E29" s="292">
        <v>1362137</v>
      </c>
      <c r="F29" s="292">
        <v>1191354</v>
      </c>
      <c r="G29" s="191" t="s">
        <v>140</v>
      </c>
      <c r="H29" s="292">
        <v>170783</v>
      </c>
      <c r="I29" s="292">
        <v>0</v>
      </c>
      <c r="J29" s="292">
        <v>0</v>
      </c>
      <c r="K29" s="292">
        <v>0</v>
      </c>
      <c r="L29" s="292">
        <v>170783</v>
      </c>
    </row>
    <row r="30" spans="1:12" x14ac:dyDescent="0.25">
      <c r="A30" s="83" t="s">
        <v>323</v>
      </c>
      <c r="B30" s="201" t="s">
        <v>589</v>
      </c>
      <c r="C30" s="5" t="s">
        <v>16</v>
      </c>
      <c r="D30" s="83">
        <v>301</v>
      </c>
      <c r="E30" s="292">
        <v>705908</v>
      </c>
      <c r="F30" s="292">
        <v>664522</v>
      </c>
      <c r="G30" s="191" t="s">
        <v>140</v>
      </c>
      <c r="H30" s="292">
        <v>41386</v>
      </c>
      <c r="I30" s="292">
        <v>0</v>
      </c>
      <c r="J30" s="292">
        <v>0</v>
      </c>
      <c r="K30" s="292">
        <v>0</v>
      </c>
      <c r="L30" s="292">
        <v>41386</v>
      </c>
    </row>
    <row r="31" spans="1:12" ht="15" customHeight="1" x14ac:dyDescent="0.25">
      <c r="A31" s="202" t="s">
        <v>328</v>
      </c>
      <c r="B31" s="87" t="s">
        <v>140</v>
      </c>
      <c r="C31" s="87" t="s">
        <v>140</v>
      </c>
      <c r="D31" s="87" t="s">
        <v>140</v>
      </c>
      <c r="E31" s="244">
        <f>SUBTOTAL(109,college201112[Program
Costs])</f>
        <v>20332634</v>
      </c>
      <c r="F31" s="244">
        <f>SUBTOTAL(109,college201112[Less: Net Payments and Offsets2])</f>
        <v>17286258</v>
      </c>
      <c r="G31" s="87" t="s">
        <v>140</v>
      </c>
      <c r="H31" s="244">
        <f>SUBTOTAL(109,college201112[Accounts Payable
Balance])</f>
        <v>3046376</v>
      </c>
      <c r="I31" s="244">
        <f>SUBTOTAL(109,college201112[Established
Accounts Receivable])</f>
        <v>0</v>
      </c>
      <c r="J31" s="244">
        <f>SUBTOTAL(109,college201112[Less: Recovered Amount])</f>
        <v>0</v>
      </c>
      <c r="K31" s="244">
        <f>SUBTOTAL(109,college201112[Accounts Receivable
Balance])</f>
        <v>0</v>
      </c>
      <c r="L31" s="244">
        <f>SUBTOTAL(109,college201112[Net
Balance])</f>
        <v>3046376</v>
      </c>
    </row>
    <row r="32" spans="1:12" x14ac:dyDescent="0.25">
      <c r="A32" s="195" t="s">
        <v>141</v>
      </c>
      <c r="B32" s="201"/>
      <c r="C32" s="5"/>
      <c r="D32" s="83"/>
      <c r="E32" s="193"/>
      <c r="F32" s="193"/>
      <c r="G32" s="228"/>
      <c r="H32" s="193"/>
      <c r="I32" s="193"/>
      <c r="J32" s="193"/>
      <c r="K32" s="193"/>
      <c r="L32" s="193"/>
    </row>
    <row r="33" spans="1:12" ht="50.1" customHeight="1" x14ac:dyDescent="0.25">
      <c r="A33" s="10" t="s">
        <v>5</v>
      </c>
      <c r="B33" s="10" t="s">
        <v>6</v>
      </c>
      <c r="C33" s="10" t="s">
        <v>0</v>
      </c>
      <c r="D33" s="10" t="s">
        <v>139</v>
      </c>
      <c r="E33" s="215" t="s">
        <v>234</v>
      </c>
      <c r="F33" s="216" t="s">
        <v>452</v>
      </c>
      <c r="G33" s="217" t="s">
        <v>142</v>
      </c>
      <c r="H33" s="215" t="s">
        <v>444</v>
      </c>
      <c r="I33" s="215" t="s">
        <v>445</v>
      </c>
      <c r="J33" s="215" t="s">
        <v>446</v>
      </c>
      <c r="K33" s="215" t="s">
        <v>447</v>
      </c>
      <c r="L33" s="215" t="s">
        <v>305</v>
      </c>
    </row>
    <row r="34" spans="1:12" ht="45.75" x14ac:dyDescent="0.25">
      <c r="A34" s="83" t="s">
        <v>329</v>
      </c>
      <c r="B34" s="201" t="s">
        <v>72</v>
      </c>
      <c r="C34" s="5" t="s">
        <v>13</v>
      </c>
      <c r="D34" s="83">
        <v>232</v>
      </c>
      <c r="E34" s="292">
        <v>3804239</v>
      </c>
      <c r="F34" s="292">
        <v>3701869</v>
      </c>
      <c r="G34" s="191" t="s">
        <v>140</v>
      </c>
      <c r="H34" s="192">
        <v>102370</v>
      </c>
      <c r="I34" s="192">
        <v>0</v>
      </c>
      <c r="J34" s="192">
        <v>0</v>
      </c>
      <c r="K34" s="192">
        <v>0</v>
      </c>
      <c r="L34" s="192">
        <v>102370</v>
      </c>
    </row>
    <row r="35" spans="1:12" ht="30.75" x14ac:dyDescent="0.25">
      <c r="A35" s="83" t="s">
        <v>329</v>
      </c>
      <c r="B35" s="201" t="s">
        <v>581</v>
      </c>
      <c r="C35" s="5" t="s">
        <v>488</v>
      </c>
      <c r="D35" s="83">
        <v>267</v>
      </c>
      <c r="E35" s="292">
        <v>5522032</v>
      </c>
      <c r="F35" s="292">
        <v>4696717</v>
      </c>
      <c r="G35" s="191" t="s">
        <v>140</v>
      </c>
      <c r="H35" s="192">
        <v>825315</v>
      </c>
      <c r="I35" s="192">
        <v>0</v>
      </c>
      <c r="J35" s="192">
        <v>0</v>
      </c>
      <c r="K35" s="192">
        <v>0</v>
      </c>
      <c r="L35" s="192">
        <v>825315</v>
      </c>
    </row>
    <row r="36" spans="1:12" x14ac:dyDescent="0.25">
      <c r="A36" s="83" t="s">
        <v>329</v>
      </c>
      <c r="B36" s="201" t="s">
        <v>590</v>
      </c>
      <c r="C36" s="5" t="s">
        <v>591</v>
      </c>
      <c r="D36" s="83">
        <v>256</v>
      </c>
      <c r="E36" s="292">
        <v>292934</v>
      </c>
      <c r="F36" s="292">
        <v>269889</v>
      </c>
      <c r="G36" s="191" t="s">
        <v>140</v>
      </c>
      <c r="H36" s="192">
        <v>23045</v>
      </c>
      <c r="I36" s="192">
        <v>0</v>
      </c>
      <c r="J36" s="192">
        <v>0</v>
      </c>
      <c r="K36" s="192">
        <v>0</v>
      </c>
      <c r="L36" s="192">
        <v>23045</v>
      </c>
    </row>
    <row r="37" spans="1:12" ht="30.75" x14ac:dyDescent="0.25">
      <c r="A37" s="83" t="s">
        <v>329</v>
      </c>
      <c r="B37" s="201" t="s">
        <v>338</v>
      </c>
      <c r="C37" s="5" t="s">
        <v>339</v>
      </c>
      <c r="D37" s="83">
        <v>237</v>
      </c>
      <c r="E37" s="292">
        <v>676281</v>
      </c>
      <c r="F37" s="292">
        <v>650651</v>
      </c>
      <c r="G37" s="191" t="s">
        <v>140</v>
      </c>
      <c r="H37" s="192">
        <v>25630</v>
      </c>
      <c r="I37" s="192">
        <v>0</v>
      </c>
      <c r="J37" s="192">
        <v>0</v>
      </c>
      <c r="K37" s="192">
        <v>0</v>
      </c>
      <c r="L37" s="192">
        <v>25630</v>
      </c>
    </row>
    <row r="38" spans="1:12" x14ac:dyDescent="0.25">
      <c r="A38" s="83" t="s">
        <v>329</v>
      </c>
      <c r="B38" s="201" t="s">
        <v>582</v>
      </c>
      <c r="C38" s="5" t="s">
        <v>583</v>
      </c>
      <c r="D38" s="83">
        <v>347</v>
      </c>
      <c r="E38" s="292">
        <v>5189154</v>
      </c>
      <c r="F38" s="292">
        <v>4698840</v>
      </c>
      <c r="G38" s="191" t="s">
        <v>140</v>
      </c>
      <c r="H38" s="192">
        <v>490314</v>
      </c>
      <c r="I38" s="192">
        <v>0</v>
      </c>
      <c r="J38" s="192">
        <v>0</v>
      </c>
      <c r="K38" s="192">
        <v>0</v>
      </c>
      <c r="L38" s="192">
        <v>490314</v>
      </c>
    </row>
    <row r="39" spans="1:12" ht="15" customHeight="1" x14ac:dyDescent="0.25">
      <c r="A39" s="83" t="s">
        <v>329</v>
      </c>
      <c r="B39" s="201" t="s">
        <v>584</v>
      </c>
      <c r="C39" s="5" t="s">
        <v>327</v>
      </c>
      <c r="D39" s="83">
        <v>238</v>
      </c>
      <c r="E39" s="292">
        <v>1420015</v>
      </c>
      <c r="F39" s="292">
        <v>1398983</v>
      </c>
      <c r="G39" s="191" t="s">
        <v>140</v>
      </c>
      <c r="H39" s="192">
        <v>21032</v>
      </c>
      <c r="I39" s="192">
        <v>0</v>
      </c>
      <c r="J39" s="192">
        <v>0</v>
      </c>
      <c r="K39" s="192">
        <v>0</v>
      </c>
      <c r="L39" s="192">
        <v>21032</v>
      </c>
    </row>
    <row r="40" spans="1:12" x14ac:dyDescent="0.25">
      <c r="A40" s="202" t="s">
        <v>342</v>
      </c>
      <c r="B40" s="87" t="s">
        <v>140</v>
      </c>
      <c r="C40" s="87" t="s">
        <v>140</v>
      </c>
      <c r="D40" s="87" t="s">
        <v>140</v>
      </c>
      <c r="E40" s="244">
        <f>SUBTOTAL(109,college201011[Program
Costs])</f>
        <v>16904655</v>
      </c>
      <c r="F40" s="244">
        <f>SUBTOTAL(109,college201011[Less: Net Payments and Offsets2])</f>
        <v>15416949</v>
      </c>
      <c r="G40" s="87" t="s">
        <v>140</v>
      </c>
      <c r="H40" s="80">
        <f>SUBTOTAL(109,college201011[Accounts Payable
Balance])</f>
        <v>1487706</v>
      </c>
      <c r="I40" s="80">
        <f>SUBTOTAL(109,college201011[Established
Accounts Receivable])</f>
        <v>0</v>
      </c>
      <c r="J40" s="80">
        <f>SUBTOTAL(109,college201011[Less: Recovered Amount])</f>
        <v>0</v>
      </c>
      <c r="K40" s="80">
        <f>SUBTOTAL(109,college201011[Accounts Receivable
Balance])</f>
        <v>0</v>
      </c>
      <c r="L40" s="80">
        <f>SUBTOTAL(109,college201011[Net
Balance])</f>
        <v>1487706</v>
      </c>
    </row>
    <row r="41" spans="1:12" x14ac:dyDescent="0.25">
      <c r="A41" s="195" t="s">
        <v>141</v>
      </c>
      <c r="B41" s="201"/>
      <c r="C41" s="5"/>
      <c r="D41" s="83"/>
      <c r="E41" s="193"/>
      <c r="F41" s="193"/>
      <c r="G41" s="228"/>
      <c r="H41" s="193"/>
      <c r="I41" s="193"/>
      <c r="J41" s="193"/>
      <c r="K41" s="193"/>
      <c r="L41" s="193"/>
    </row>
    <row r="42" spans="1:12" ht="50.1" customHeight="1" x14ac:dyDescent="0.25">
      <c r="A42" s="10" t="s">
        <v>5</v>
      </c>
      <c r="B42" s="10" t="s">
        <v>6</v>
      </c>
      <c r="C42" s="10" t="s">
        <v>0</v>
      </c>
      <c r="D42" s="10" t="s">
        <v>139</v>
      </c>
      <c r="E42" s="215" t="s">
        <v>234</v>
      </c>
      <c r="F42" s="216" t="s">
        <v>452</v>
      </c>
      <c r="G42" s="217" t="s">
        <v>142</v>
      </c>
      <c r="H42" s="215" t="s">
        <v>444</v>
      </c>
      <c r="I42" s="215" t="s">
        <v>445</v>
      </c>
      <c r="J42" s="215" t="s">
        <v>446</v>
      </c>
      <c r="K42" s="215" t="s">
        <v>447</v>
      </c>
      <c r="L42" s="215" t="s">
        <v>305</v>
      </c>
    </row>
    <row r="43" spans="1:12" ht="45.75" x14ac:dyDescent="0.25">
      <c r="A43" s="83" t="s">
        <v>343</v>
      </c>
      <c r="B43" s="201" t="s">
        <v>72</v>
      </c>
      <c r="C43" s="5" t="s">
        <v>13</v>
      </c>
      <c r="D43" s="83">
        <v>232</v>
      </c>
      <c r="E43" s="292">
        <v>4586540</v>
      </c>
      <c r="F43" s="292">
        <v>4468686</v>
      </c>
      <c r="G43" s="191" t="s">
        <v>140</v>
      </c>
      <c r="H43" s="292">
        <v>117854</v>
      </c>
      <c r="I43" s="292">
        <v>4602</v>
      </c>
      <c r="J43" s="292">
        <v>0</v>
      </c>
      <c r="K43" s="292">
        <v>4602</v>
      </c>
      <c r="L43" s="292">
        <v>113252</v>
      </c>
    </row>
    <row r="44" spans="1:12" ht="30.75" x14ac:dyDescent="0.25">
      <c r="A44" s="83" t="s">
        <v>343</v>
      </c>
      <c r="B44" s="201" t="s">
        <v>581</v>
      </c>
      <c r="C44" s="5" t="s">
        <v>488</v>
      </c>
      <c r="D44" s="83">
        <v>267</v>
      </c>
      <c r="E44" s="292">
        <v>7294856</v>
      </c>
      <c r="F44" s="292">
        <v>6709311</v>
      </c>
      <c r="G44" s="191" t="s">
        <v>140</v>
      </c>
      <c r="H44" s="292">
        <v>585545</v>
      </c>
      <c r="I44" s="292">
        <v>1598277</v>
      </c>
      <c r="J44" s="292">
        <v>0</v>
      </c>
      <c r="K44" s="292">
        <v>1598277</v>
      </c>
      <c r="L44" s="292">
        <v>-1012732</v>
      </c>
    </row>
    <row r="45" spans="1:12" ht="30.75" x14ac:dyDescent="0.25">
      <c r="A45" s="83" t="s">
        <v>343</v>
      </c>
      <c r="B45" s="201" t="s">
        <v>587</v>
      </c>
      <c r="C45" s="5" t="s">
        <v>588</v>
      </c>
      <c r="D45" s="83">
        <v>234</v>
      </c>
      <c r="E45" s="292">
        <v>3066366</v>
      </c>
      <c r="F45" s="292">
        <v>3066366</v>
      </c>
      <c r="G45" s="191" t="s">
        <v>140</v>
      </c>
      <c r="H45" s="292">
        <v>0</v>
      </c>
      <c r="I45" s="292">
        <v>1619834</v>
      </c>
      <c r="J45" s="292">
        <v>258603</v>
      </c>
      <c r="K45" s="292">
        <v>1361231</v>
      </c>
      <c r="L45" s="292">
        <v>-1361231</v>
      </c>
    </row>
    <row r="46" spans="1:12" x14ac:dyDescent="0.25">
      <c r="A46" s="83" t="s">
        <v>343</v>
      </c>
      <c r="B46" s="201" t="s">
        <v>590</v>
      </c>
      <c r="C46" s="5" t="s">
        <v>591</v>
      </c>
      <c r="D46" s="83">
        <v>256</v>
      </c>
      <c r="E46" s="292">
        <v>1006042</v>
      </c>
      <c r="F46" s="292">
        <v>922624</v>
      </c>
      <c r="G46" s="191" t="s">
        <v>140</v>
      </c>
      <c r="H46" s="292">
        <v>83418</v>
      </c>
      <c r="I46" s="292">
        <v>0</v>
      </c>
      <c r="J46" s="292">
        <v>0</v>
      </c>
      <c r="K46" s="292">
        <v>0</v>
      </c>
      <c r="L46" s="292">
        <v>83418</v>
      </c>
    </row>
    <row r="47" spans="1:12" ht="30.75" x14ac:dyDescent="0.25">
      <c r="A47" s="83" t="s">
        <v>343</v>
      </c>
      <c r="B47" s="201" t="s">
        <v>338</v>
      </c>
      <c r="C47" s="5" t="s">
        <v>339</v>
      </c>
      <c r="D47" s="83">
        <v>237</v>
      </c>
      <c r="E47" s="292">
        <v>684534</v>
      </c>
      <c r="F47" s="292">
        <v>664641</v>
      </c>
      <c r="G47" s="191" t="s">
        <v>140</v>
      </c>
      <c r="H47" s="292">
        <v>19893</v>
      </c>
      <c r="I47" s="292">
        <v>0</v>
      </c>
      <c r="J47" s="292">
        <v>0</v>
      </c>
      <c r="K47" s="292">
        <v>0</v>
      </c>
      <c r="L47" s="292">
        <v>19893</v>
      </c>
    </row>
    <row r="48" spans="1:12" x14ac:dyDescent="0.25">
      <c r="A48" s="83" t="s">
        <v>343</v>
      </c>
      <c r="B48" s="201" t="s">
        <v>582</v>
      </c>
      <c r="C48" s="5" t="s">
        <v>583</v>
      </c>
      <c r="D48" s="83">
        <v>347</v>
      </c>
      <c r="E48" s="292">
        <v>4890742</v>
      </c>
      <c r="F48" s="292">
        <v>4524963</v>
      </c>
      <c r="G48" s="191" t="s">
        <v>140</v>
      </c>
      <c r="H48" s="292">
        <v>365779</v>
      </c>
      <c r="I48" s="292">
        <v>0</v>
      </c>
      <c r="J48" s="292">
        <v>0</v>
      </c>
      <c r="K48" s="292">
        <v>0</v>
      </c>
      <c r="L48" s="292">
        <v>365779</v>
      </c>
    </row>
    <row r="49" spans="1:12" ht="15" customHeight="1" x14ac:dyDescent="0.25">
      <c r="A49" s="83" t="s">
        <v>343</v>
      </c>
      <c r="B49" s="201" t="s">
        <v>584</v>
      </c>
      <c r="C49" s="5" t="s">
        <v>327</v>
      </c>
      <c r="D49" s="83">
        <v>238</v>
      </c>
      <c r="E49" s="292">
        <v>1286379</v>
      </c>
      <c r="F49" s="292">
        <v>1266655</v>
      </c>
      <c r="G49" s="191" t="s">
        <v>140</v>
      </c>
      <c r="H49" s="292">
        <v>19724</v>
      </c>
      <c r="I49" s="292">
        <v>0</v>
      </c>
      <c r="J49" s="292">
        <v>0</v>
      </c>
      <c r="K49" s="292">
        <v>0</v>
      </c>
      <c r="L49" s="292">
        <v>19724</v>
      </c>
    </row>
    <row r="50" spans="1:12" x14ac:dyDescent="0.25">
      <c r="A50" s="202" t="s">
        <v>378</v>
      </c>
      <c r="B50" s="87" t="s">
        <v>140</v>
      </c>
      <c r="C50" s="87" t="s">
        <v>140</v>
      </c>
      <c r="D50" s="87" t="s">
        <v>140</v>
      </c>
      <c r="E50" s="244">
        <f>SUBTOTAL(109,college200910[Program
Costs])</f>
        <v>22815459</v>
      </c>
      <c r="F50" s="244">
        <f>SUBTOTAL(109,college200910[Less: Net Payments and Offsets2])</f>
        <v>21623246</v>
      </c>
      <c r="G50" s="87" t="s">
        <v>140</v>
      </c>
      <c r="H50" s="244">
        <f>SUBTOTAL(109,college200910[Accounts Payable
Balance])</f>
        <v>1192213</v>
      </c>
      <c r="I50" s="244">
        <f>SUBTOTAL(109,college200910[Established
Accounts Receivable])</f>
        <v>3222713</v>
      </c>
      <c r="J50" s="244">
        <f>SUBTOTAL(109,college200910[Less: Recovered Amount])</f>
        <v>258603</v>
      </c>
      <c r="K50" s="244">
        <f>SUBTOTAL(109,college200910[Accounts Receivable
Balance])</f>
        <v>2964110</v>
      </c>
      <c r="L50" s="244">
        <f>SUBTOTAL(109,college200910[Net
Balance])</f>
        <v>-1771897</v>
      </c>
    </row>
    <row r="51" spans="1:12" x14ac:dyDescent="0.25">
      <c r="A51" s="195" t="s">
        <v>141</v>
      </c>
      <c r="B51" s="201"/>
      <c r="C51" s="5"/>
      <c r="D51" s="83"/>
      <c r="E51" s="193"/>
      <c r="F51" s="193"/>
      <c r="G51" s="228"/>
      <c r="H51" s="193"/>
      <c r="I51" s="193"/>
      <c r="J51" s="193"/>
      <c r="K51" s="193"/>
      <c r="L51" s="193"/>
    </row>
    <row r="52" spans="1:12" ht="50.1" customHeight="1" x14ac:dyDescent="0.25">
      <c r="A52" s="10" t="s">
        <v>5</v>
      </c>
      <c r="B52" s="10" t="s">
        <v>6</v>
      </c>
      <c r="C52" s="10" t="s">
        <v>0</v>
      </c>
      <c r="D52" s="10" t="s">
        <v>139</v>
      </c>
      <c r="E52" s="215" t="s">
        <v>234</v>
      </c>
      <c r="F52" s="216" t="s">
        <v>452</v>
      </c>
      <c r="G52" s="217" t="s">
        <v>142</v>
      </c>
      <c r="H52" s="215" t="s">
        <v>444</v>
      </c>
      <c r="I52" s="215" t="s">
        <v>445</v>
      </c>
      <c r="J52" s="215" t="s">
        <v>446</v>
      </c>
      <c r="K52" s="215" t="s">
        <v>447</v>
      </c>
      <c r="L52" s="215" t="s">
        <v>305</v>
      </c>
    </row>
    <row r="53" spans="1:12" x14ac:dyDescent="0.25">
      <c r="A53" s="83" t="s">
        <v>379</v>
      </c>
      <c r="B53" s="201" t="s">
        <v>592</v>
      </c>
      <c r="C53" s="5" t="s">
        <v>593</v>
      </c>
      <c r="D53" s="83">
        <v>302</v>
      </c>
      <c r="E53" s="292">
        <v>23555</v>
      </c>
      <c r="F53" s="292">
        <v>21884</v>
      </c>
      <c r="G53" s="191" t="s">
        <v>140</v>
      </c>
      <c r="H53" s="292">
        <v>1671</v>
      </c>
      <c r="I53" s="292">
        <v>0</v>
      </c>
      <c r="J53" s="292">
        <v>0</v>
      </c>
      <c r="K53" s="292">
        <v>0</v>
      </c>
      <c r="L53" s="292">
        <v>1671</v>
      </c>
    </row>
    <row r="54" spans="1:12" ht="45.75" x14ac:dyDescent="0.25">
      <c r="A54" s="83" t="s">
        <v>379</v>
      </c>
      <c r="B54" s="201" t="s">
        <v>72</v>
      </c>
      <c r="C54" s="5" t="s">
        <v>13</v>
      </c>
      <c r="D54" s="83">
        <v>232</v>
      </c>
      <c r="E54" s="292">
        <v>4843233</v>
      </c>
      <c r="F54" s="292">
        <v>4708029</v>
      </c>
      <c r="G54" s="191" t="s">
        <v>140</v>
      </c>
      <c r="H54" s="292">
        <v>135204</v>
      </c>
      <c r="I54" s="292">
        <v>0</v>
      </c>
      <c r="J54" s="292">
        <v>0</v>
      </c>
      <c r="K54" s="292">
        <v>0</v>
      </c>
      <c r="L54" s="292">
        <v>135204</v>
      </c>
    </row>
    <row r="55" spans="1:12" ht="30.75" x14ac:dyDescent="0.25">
      <c r="A55" s="83" t="s">
        <v>379</v>
      </c>
      <c r="B55" s="201" t="s">
        <v>581</v>
      </c>
      <c r="C55" s="5" t="s">
        <v>488</v>
      </c>
      <c r="D55" s="83">
        <v>267</v>
      </c>
      <c r="E55" s="292">
        <v>9022099</v>
      </c>
      <c r="F55" s="292">
        <v>8333024</v>
      </c>
      <c r="G55" s="191" t="s">
        <v>140</v>
      </c>
      <c r="H55" s="292">
        <v>689075</v>
      </c>
      <c r="I55" s="292">
        <v>1993995</v>
      </c>
      <c r="J55" s="292">
        <v>0</v>
      </c>
      <c r="K55" s="292">
        <v>1993995</v>
      </c>
      <c r="L55" s="292">
        <v>-1304920</v>
      </c>
    </row>
    <row r="56" spans="1:12" ht="30.75" x14ac:dyDescent="0.25">
      <c r="A56" s="83" t="s">
        <v>379</v>
      </c>
      <c r="B56" s="201" t="s">
        <v>587</v>
      </c>
      <c r="C56" s="5" t="s">
        <v>588</v>
      </c>
      <c r="D56" s="83">
        <v>234</v>
      </c>
      <c r="E56" s="292">
        <v>2737981</v>
      </c>
      <c r="F56" s="292">
        <v>2737981</v>
      </c>
      <c r="G56" s="191" t="s">
        <v>140</v>
      </c>
      <c r="H56" s="292">
        <v>0</v>
      </c>
      <c r="I56" s="292">
        <v>3372799</v>
      </c>
      <c r="J56" s="292">
        <v>384373</v>
      </c>
      <c r="K56" s="292">
        <v>2988426</v>
      </c>
      <c r="L56" s="292">
        <v>-2988426</v>
      </c>
    </row>
    <row r="57" spans="1:12" x14ac:dyDescent="0.25">
      <c r="A57" s="83" t="s">
        <v>379</v>
      </c>
      <c r="B57" s="201" t="s">
        <v>590</v>
      </c>
      <c r="C57" s="5" t="s">
        <v>591</v>
      </c>
      <c r="D57" s="83">
        <v>256</v>
      </c>
      <c r="E57" s="292">
        <v>1281525</v>
      </c>
      <c r="F57" s="292">
        <v>1201370</v>
      </c>
      <c r="G57" s="191" t="s">
        <v>140</v>
      </c>
      <c r="H57" s="292">
        <v>80155</v>
      </c>
      <c r="I57" s="292">
        <v>0</v>
      </c>
      <c r="J57" s="292">
        <v>0</v>
      </c>
      <c r="K57" s="292">
        <v>0</v>
      </c>
      <c r="L57" s="292">
        <v>80155</v>
      </c>
    </row>
    <row r="58" spans="1:12" ht="30.75" x14ac:dyDescent="0.25">
      <c r="A58" s="83" t="s">
        <v>379</v>
      </c>
      <c r="B58" s="201" t="s">
        <v>338</v>
      </c>
      <c r="C58" s="5" t="s">
        <v>339</v>
      </c>
      <c r="D58" s="83">
        <v>237</v>
      </c>
      <c r="E58" s="292">
        <v>775809</v>
      </c>
      <c r="F58" s="292">
        <v>735585</v>
      </c>
      <c r="G58" s="191" t="s">
        <v>140</v>
      </c>
      <c r="H58" s="292">
        <v>40224</v>
      </c>
      <c r="I58" s="292">
        <v>0</v>
      </c>
      <c r="J58" s="292">
        <v>0</v>
      </c>
      <c r="K58" s="292">
        <v>0</v>
      </c>
      <c r="L58" s="292">
        <v>40224</v>
      </c>
    </row>
    <row r="59" spans="1:12" x14ac:dyDescent="0.25">
      <c r="A59" s="83" t="s">
        <v>379</v>
      </c>
      <c r="B59" s="201" t="s">
        <v>582</v>
      </c>
      <c r="C59" s="5" t="s">
        <v>583</v>
      </c>
      <c r="D59" s="83">
        <v>347</v>
      </c>
      <c r="E59" s="292">
        <v>4736363</v>
      </c>
      <c r="F59" s="292">
        <v>4301488</v>
      </c>
      <c r="G59" s="191" t="s">
        <v>140</v>
      </c>
      <c r="H59" s="292">
        <v>434875</v>
      </c>
      <c r="I59" s="292">
        <v>0</v>
      </c>
      <c r="J59" s="292">
        <v>0</v>
      </c>
      <c r="K59" s="292">
        <v>0</v>
      </c>
      <c r="L59" s="292">
        <v>434875</v>
      </c>
    </row>
    <row r="60" spans="1:12" ht="15.75" customHeight="1" x14ac:dyDescent="0.25">
      <c r="A60" s="83" t="s">
        <v>379</v>
      </c>
      <c r="B60" s="201" t="s">
        <v>584</v>
      </c>
      <c r="C60" s="5" t="s">
        <v>327</v>
      </c>
      <c r="D60" s="83">
        <v>238</v>
      </c>
      <c r="E60" s="292">
        <v>1264692</v>
      </c>
      <c r="F60" s="292">
        <v>1235036</v>
      </c>
      <c r="G60" s="191" t="s">
        <v>140</v>
      </c>
      <c r="H60" s="292">
        <v>29656</v>
      </c>
      <c r="I60" s="292">
        <v>0</v>
      </c>
      <c r="J60" s="292">
        <v>0</v>
      </c>
      <c r="K60" s="292">
        <v>0</v>
      </c>
      <c r="L60" s="292">
        <v>29656</v>
      </c>
    </row>
    <row r="61" spans="1:12" ht="15" customHeight="1" x14ac:dyDescent="0.25">
      <c r="A61" s="202" t="s">
        <v>390</v>
      </c>
      <c r="B61" s="87" t="s">
        <v>140</v>
      </c>
      <c r="C61" s="87" t="s">
        <v>140</v>
      </c>
      <c r="D61" s="87" t="s">
        <v>140</v>
      </c>
      <c r="E61" s="244">
        <f>SUBTOTAL(109,college200809[Program
Costs])</f>
        <v>24685257</v>
      </c>
      <c r="F61" s="244">
        <f>SUBTOTAL(109,college200809[Less: Net Payments and Offsets2])</f>
        <v>23274397</v>
      </c>
      <c r="G61" s="87" t="s">
        <v>140</v>
      </c>
      <c r="H61" s="244">
        <f>SUBTOTAL(109,college200809[Accounts Payable
Balance])</f>
        <v>1410860</v>
      </c>
      <c r="I61" s="244">
        <f>SUBTOTAL(109,college200809[Established
Accounts Receivable])</f>
        <v>5366794</v>
      </c>
      <c r="J61" s="244">
        <f>SUBTOTAL(109,college200809[Less: Recovered Amount])</f>
        <v>384373</v>
      </c>
      <c r="K61" s="244">
        <f>SUBTOTAL(109,college200809[Accounts Receivable
Balance])</f>
        <v>4982421</v>
      </c>
      <c r="L61" s="244">
        <f>SUBTOTAL(109,college200809[Net
Balance])</f>
        <v>-3571561</v>
      </c>
    </row>
    <row r="62" spans="1:12" x14ac:dyDescent="0.25">
      <c r="A62" s="195" t="s">
        <v>141</v>
      </c>
      <c r="B62" s="201"/>
      <c r="C62" s="5"/>
      <c r="D62" s="83"/>
      <c r="E62" s="193"/>
      <c r="F62" s="193"/>
      <c r="G62" s="228"/>
      <c r="H62" s="193"/>
      <c r="I62" s="193"/>
      <c r="J62" s="193"/>
      <c r="K62" s="193"/>
      <c r="L62" s="193"/>
    </row>
    <row r="63" spans="1:12" ht="50.1" customHeight="1" x14ac:dyDescent="0.25">
      <c r="A63" s="10" t="s">
        <v>5</v>
      </c>
      <c r="B63" s="10" t="s">
        <v>6</v>
      </c>
      <c r="C63" s="10" t="s">
        <v>0</v>
      </c>
      <c r="D63" s="10" t="s">
        <v>139</v>
      </c>
      <c r="E63" s="215" t="s">
        <v>234</v>
      </c>
      <c r="F63" s="216" t="s">
        <v>452</v>
      </c>
      <c r="G63" s="217" t="s">
        <v>142</v>
      </c>
      <c r="H63" s="215" t="s">
        <v>444</v>
      </c>
      <c r="I63" s="215" t="s">
        <v>445</v>
      </c>
      <c r="J63" s="215" t="s">
        <v>446</v>
      </c>
      <c r="K63" s="215" t="s">
        <v>447</v>
      </c>
      <c r="L63" s="215" t="s">
        <v>305</v>
      </c>
    </row>
    <row r="64" spans="1:12" x14ac:dyDescent="0.25">
      <c r="A64" s="83" t="s">
        <v>391</v>
      </c>
      <c r="B64" s="201" t="s">
        <v>501</v>
      </c>
      <c r="C64" s="5" t="s">
        <v>502</v>
      </c>
      <c r="D64" s="83">
        <v>270</v>
      </c>
      <c r="E64" s="292">
        <v>107612</v>
      </c>
      <c r="F64" s="292">
        <v>104977</v>
      </c>
      <c r="G64" s="191" t="s">
        <v>140</v>
      </c>
      <c r="H64" s="292">
        <v>2635</v>
      </c>
      <c r="I64" s="292">
        <v>0</v>
      </c>
      <c r="J64" s="292">
        <v>0</v>
      </c>
      <c r="K64" s="292">
        <v>0</v>
      </c>
      <c r="L64" s="292">
        <v>2635</v>
      </c>
    </row>
    <row r="65" spans="1:12" x14ac:dyDescent="0.25">
      <c r="A65" s="83" t="s">
        <v>391</v>
      </c>
      <c r="B65" s="201" t="s">
        <v>592</v>
      </c>
      <c r="C65" s="5" t="s">
        <v>593</v>
      </c>
      <c r="D65" s="83">
        <v>302</v>
      </c>
      <c r="E65" s="292">
        <v>23844</v>
      </c>
      <c r="F65" s="292">
        <v>22129</v>
      </c>
      <c r="G65" s="191" t="s">
        <v>140</v>
      </c>
      <c r="H65" s="292">
        <v>1715</v>
      </c>
      <c r="I65" s="292">
        <v>0</v>
      </c>
      <c r="J65" s="292">
        <v>0</v>
      </c>
      <c r="K65" s="292">
        <v>0</v>
      </c>
      <c r="L65" s="292">
        <v>1715</v>
      </c>
    </row>
    <row r="66" spans="1:12" ht="45.75" x14ac:dyDescent="0.25">
      <c r="A66" s="83" t="s">
        <v>391</v>
      </c>
      <c r="B66" s="201" t="s">
        <v>483</v>
      </c>
      <c r="C66" s="5" t="s">
        <v>484</v>
      </c>
      <c r="D66" s="83">
        <v>287</v>
      </c>
      <c r="E66" s="292">
        <v>65504</v>
      </c>
      <c r="F66" s="292">
        <v>63745</v>
      </c>
      <c r="G66" s="191" t="s">
        <v>140</v>
      </c>
      <c r="H66" s="292">
        <v>1759</v>
      </c>
      <c r="I66" s="292">
        <v>0</v>
      </c>
      <c r="J66" s="292">
        <v>0</v>
      </c>
      <c r="K66" s="292">
        <v>0</v>
      </c>
      <c r="L66" s="292">
        <v>1759</v>
      </c>
    </row>
    <row r="67" spans="1:12" ht="45.75" x14ac:dyDescent="0.25">
      <c r="A67" s="83" t="s">
        <v>391</v>
      </c>
      <c r="B67" s="201" t="s">
        <v>72</v>
      </c>
      <c r="C67" s="5" t="s">
        <v>13</v>
      </c>
      <c r="D67" s="83">
        <v>232</v>
      </c>
      <c r="E67" s="292">
        <v>5564747</v>
      </c>
      <c r="F67" s="292">
        <v>5411087</v>
      </c>
      <c r="G67" s="191" t="s">
        <v>140</v>
      </c>
      <c r="H67" s="292">
        <v>153660</v>
      </c>
      <c r="I67" s="292">
        <v>87483</v>
      </c>
      <c r="J67" s="292">
        <v>87483</v>
      </c>
      <c r="K67" s="292">
        <v>0</v>
      </c>
      <c r="L67" s="292">
        <v>153660</v>
      </c>
    </row>
    <row r="68" spans="1:12" ht="30.75" x14ac:dyDescent="0.25">
      <c r="A68" s="83" t="s">
        <v>391</v>
      </c>
      <c r="B68" s="201" t="s">
        <v>581</v>
      </c>
      <c r="C68" s="5" t="s">
        <v>488</v>
      </c>
      <c r="D68" s="83">
        <v>267</v>
      </c>
      <c r="E68" s="292">
        <v>6981108</v>
      </c>
      <c r="F68" s="292">
        <v>5991522</v>
      </c>
      <c r="G68" s="191" t="s">
        <v>140</v>
      </c>
      <c r="H68" s="292">
        <v>989586</v>
      </c>
      <c r="I68" s="292">
        <v>0</v>
      </c>
      <c r="J68" s="292">
        <v>0</v>
      </c>
      <c r="K68" s="292">
        <v>0</v>
      </c>
      <c r="L68" s="292">
        <v>989586</v>
      </c>
    </row>
    <row r="69" spans="1:12" ht="30.75" x14ac:dyDescent="0.25">
      <c r="A69" s="83" t="s">
        <v>391</v>
      </c>
      <c r="B69" s="201" t="s">
        <v>587</v>
      </c>
      <c r="C69" s="5" t="s">
        <v>588</v>
      </c>
      <c r="D69" s="83">
        <v>234</v>
      </c>
      <c r="E69" s="292">
        <v>2553039</v>
      </c>
      <c r="F69" s="292">
        <v>2553039</v>
      </c>
      <c r="G69" s="191" t="s">
        <v>140</v>
      </c>
      <c r="H69" s="292">
        <v>0</v>
      </c>
      <c r="I69" s="292">
        <v>2583827</v>
      </c>
      <c r="J69" s="292">
        <v>926649</v>
      </c>
      <c r="K69" s="292">
        <v>1657178</v>
      </c>
      <c r="L69" s="292">
        <v>-1657178</v>
      </c>
    </row>
    <row r="70" spans="1:12" x14ac:dyDescent="0.25">
      <c r="A70" s="83" t="s">
        <v>391</v>
      </c>
      <c r="B70" s="201" t="s">
        <v>590</v>
      </c>
      <c r="C70" s="5" t="s">
        <v>591</v>
      </c>
      <c r="D70" s="83">
        <v>256</v>
      </c>
      <c r="E70" s="292">
        <v>923669</v>
      </c>
      <c r="F70" s="292">
        <v>848634</v>
      </c>
      <c r="G70" s="191" t="s">
        <v>140</v>
      </c>
      <c r="H70" s="292">
        <v>75035</v>
      </c>
      <c r="I70" s="292">
        <v>0</v>
      </c>
      <c r="J70" s="292">
        <v>0</v>
      </c>
      <c r="K70" s="292">
        <v>0</v>
      </c>
      <c r="L70" s="292">
        <v>75035</v>
      </c>
    </row>
    <row r="71" spans="1:12" ht="30.75" x14ac:dyDescent="0.25">
      <c r="A71" s="83" t="s">
        <v>391</v>
      </c>
      <c r="B71" s="201" t="s">
        <v>338</v>
      </c>
      <c r="C71" s="5" t="s">
        <v>339</v>
      </c>
      <c r="D71" s="83">
        <v>237</v>
      </c>
      <c r="E71" s="292">
        <v>707987</v>
      </c>
      <c r="F71" s="292">
        <v>672870</v>
      </c>
      <c r="G71" s="191" t="s">
        <v>140</v>
      </c>
      <c r="H71" s="292">
        <v>35117</v>
      </c>
      <c r="I71" s="292">
        <v>0</v>
      </c>
      <c r="J71" s="292">
        <v>0</v>
      </c>
      <c r="K71" s="292">
        <v>0</v>
      </c>
      <c r="L71" s="292">
        <v>35117</v>
      </c>
    </row>
    <row r="72" spans="1:12" ht="15" customHeight="1" x14ac:dyDescent="0.25">
      <c r="A72" s="83" t="s">
        <v>391</v>
      </c>
      <c r="B72" s="201" t="s">
        <v>582</v>
      </c>
      <c r="C72" s="5" t="s">
        <v>583</v>
      </c>
      <c r="D72" s="83">
        <v>347</v>
      </c>
      <c r="E72" s="292">
        <v>4632603</v>
      </c>
      <c r="F72" s="292">
        <v>4204110</v>
      </c>
      <c r="G72" s="191" t="s">
        <v>140</v>
      </c>
      <c r="H72" s="292">
        <v>428493</v>
      </c>
      <c r="I72" s="292">
        <v>0</v>
      </c>
      <c r="J72" s="292">
        <v>0</v>
      </c>
      <c r="K72" s="292">
        <v>0</v>
      </c>
      <c r="L72" s="292">
        <v>428493</v>
      </c>
    </row>
    <row r="73" spans="1:12" ht="15.75" customHeight="1" x14ac:dyDescent="0.25">
      <c r="A73" s="83" t="s">
        <v>391</v>
      </c>
      <c r="B73" s="201" t="s">
        <v>584</v>
      </c>
      <c r="C73" s="5" t="s">
        <v>327</v>
      </c>
      <c r="D73" s="83">
        <v>238</v>
      </c>
      <c r="E73" s="292">
        <v>1134100</v>
      </c>
      <c r="F73" s="292">
        <v>1101222</v>
      </c>
      <c r="G73" s="191" t="s">
        <v>140</v>
      </c>
      <c r="H73" s="292">
        <v>32878</v>
      </c>
      <c r="I73" s="292">
        <v>0</v>
      </c>
      <c r="J73" s="292">
        <v>0</v>
      </c>
      <c r="K73" s="292">
        <v>0</v>
      </c>
      <c r="L73" s="292">
        <v>32878</v>
      </c>
    </row>
    <row r="74" spans="1:12" x14ac:dyDescent="0.25">
      <c r="A74" s="202" t="s">
        <v>396</v>
      </c>
      <c r="B74" s="87" t="s">
        <v>140</v>
      </c>
      <c r="C74" s="87" t="s">
        <v>140</v>
      </c>
      <c r="D74" s="87" t="s">
        <v>140</v>
      </c>
      <c r="E74" s="244">
        <f>SUBTOTAL(109,college200708[Program
Costs])</f>
        <v>22694213</v>
      </c>
      <c r="F74" s="244">
        <f>SUBTOTAL(109,college200708[Less: Net Payments and Offsets2])</f>
        <v>20973335</v>
      </c>
      <c r="G74" s="87" t="s">
        <v>140</v>
      </c>
      <c r="H74" s="244">
        <f>SUBTOTAL(109,college200708[Accounts Payable
Balance])</f>
        <v>1720878</v>
      </c>
      <c r="I74" s="244">
        <f>SUBTOTAL(109,college200708[Established
Accounts Receivable])</f>
        <v>2671310</v>
      </c>
      <c r="J74" s="244">
        <f>SUBTOTAL(109,college200708[Less: Recovered Amount])</f>
        <v>1014132</v>
      </c>
      <c r="K74" s="244">
        <f>SUBTOTAL(109,college200708[Accounts Receivable
Balance])</f>
        <v>1657178</v>
      </c>
      <c r="L74" s="244">
        <f>SUBTOTAL(109,college200708[Net
Balance])</f>
        <v>63700</v>
      </c>
    </row>
    <row r="75" spans="1:12" x14ac:dyDescent="0.25">
      <c r="A75" s="195" t="s">
        <v>141</v>
      </c>
      <c r="B75" s="201"/>
      <c r="C75" s="5"/>
      <c r="D75" s="83"/>
      <c r="E75" s="193"/>
      <c r="F75" s="193"/>
      <c r="G75" s="228"/>
      <c r="H75" s="193"/>
      <c r="I75" s="193"/>
      <c r="J75" s="193"/>
      <c r="K75" s="193"/>
      <c r="L75" s="193"/>
    </row>
    <row r="76" spans="1:12" ht="50.1" customHeight="1" x14ac:dyDescent="0.25">
      <c r="A76" s="10" t="s">
        <v>5</v>
      </c>
      <c r="B76" s="10" t="s">
        <v>6</v>
      </c>
      <c r="C76" s="10" t="s">
        <v>0</v>
      </c>
      <c r="D76" s="10" t="s">
        <v>139</v>
      </c>
      <c r="E76" s="215" t="s">
        <v>234</v>
      </c>
      <c r="F76" s="216" t="s">
        <v>452</v>
      </c>
      <c r="G76" s="217" t="s">
        <v>142</v>
      </c>
      <c r="H76" s="215" t="s">
        <v>444</v>
      </c>
      <c r="I76" s="215" t="s">
        <v>445</v>
      </c>
      <c r="J76" s="215" t="s">
        <v>446</v>
      </c>
      <c r="K76" s="215" t="s">
        <v>447</v>
      </c>
      <c r="L76" s="215" t="s">
        <v>305</v>
      </c>
    </row>
    <row r="77" spans="1:12" x14ac:dyDescent="0.25">
      <c r="A77" s="83" t="s">
        <v>397</v>
      </c>
      <c r="B77" s="201" t="s">
        <v>501</v>
      </c>
      <c r="C77" s="5" t="s">
        <v>502</v>
      </c>
      <c r="D77" s="83">
        <v>270</v>
      </c>
      <c r="E77" s="292">
        <v>83423</v>
      </c>
      <c r="F77" s="292">
        <v>81632</v>
      </c>
      <c r="G77" s="191" t="s">
        <v>140</v>
      </c>
      <c r="H77" s="292">
        <v>1791</v>
      </c>
      <c r="I77" s="292">
        <v>0</v>
      </c>
      <c r="J77" s="292">
        <v>0</v>
      </c>
      <c r="K77" s="292">
        <v>0</v>
      </c>
      <c r="L77" s="292">
        <v>1791</v>
      </c>
    </row>
    <row r="78" spans="1:12" x14ac:dyDescent="0.25">
      <c r="A78" s="83" t="s">
        <v>397</v>
      </c>
      <c r="B78" s="201" t="s">
        <v>592</v>
      </c>
      <c r="C78" s="5" t="s">
        <v>593</v>
      </c>
      <c r="D78" s="83">
        <v>302</v>
      </c>
      <c r="E78" s="292">
        <v>21582</v>
      </c>
      <c r="F78" s="292">
        <v>19807</v>
      </c>
      <c r="G78" s="191" t="s">
        <v>140</v>
      </c>
      <c r="H78" s="292">
        <v>1775</v>
      </c>
      <c r="I78" s="292">
        <v>0</v>
      </c>
      <c r="J78" s="292">
        <v>0</v>
      </c>
      <c r="K78" s="292">
        <v>0</v>
      </c>
      <c r="L78" s="292">
        <v>1775</v>
      </c>
    </row>
    <row r="79" spans="1:12" ht="45.75" x14ac:dyDescent="0.25">
      <c r="A79" s="83" t="s">
        <v>397</v>
      </c>
      <c r="B79" s="201" t="s">
        <v>483</v>
      </c>
      <c r="C79" s="5" t="s">
        <v>484</v>
      </c>
      <c r="D79" s="83">
        <v>287</v>
      </c>
      <c r="E79" s="292">
        <v>57897</v>
      </c>
      <c r="F79" s="292">
        <v>56416</v>
      </c>
      <c r="G79" s="191" t="s">
        <v>140</v>
      </c>
      <c r="H79" s="292">
        <v>1481</v>
      </c>
      <c r="I79" s="292">
        <v>0</v>
      </c>
      <c r="J79" s="292">
        <v>0</v>
      </c>
      <c r="K79" s="292">
        <v>0</v>
      </c>
      <c r="L79" s="292">
        <v>1481</v>
      </c>
    </row>
    <row r="80" spans="1:12" ht="30.75" x14ac:dyDescent="0.25">
      <c r="A80" s="83" t="s">
        <v>397</v>
      </c>
      <c r="B80" s="201" t="s">
        <v>581</v>
      </c>
      <c r="C80" s="5" t="s">
        <v>488</v>
      </c>
      <c r="D80" s="83">
        <v>267</v>
      </c>
      <c r="E80" s="292">
        <v>4248500</v>
      </c>
      <c r="F80" s="292">
        <v>3796742</v>
      </c>
      <c r="G80" s="191" t="s">
        <v>140</v>
      </c>
      <c r="H80" s="292">
        <v>451758</v>
      </c>
      <c r="I80" s="292">
        <v>0</v>
      </c>
      <c r="J80" s="292">
        <v>0</v>
      </c>
      <c r="K80" s="292">
        <v>0</v>
      </c>
      <c r="L80" s="292">
        <v>451758</v>
      </c>
    </row>
    <row r="81" spans="1:12" ht="30.75" x14ac:dyDescent="0.25">
      <c r="A81" s="83" t="s">
        <v>397</v>
      </c>
      <c r="B81" s="201" t="s">
        <v>587</v>
      </c>
      <c r="C81" s="5" t="s">
        <v>588</v>
      </c>
      <c r="D81" s="83">
        <v>234</v>
      </c>
      <c r="E81" s="292">
        <v>2117214</v>
      </c>
      <c r="F81" s="292">
        <v>2079660</v>
      </c>
      <c r="G81" s="191" t="s">
        <v>140</v>
      </c>
      <c r="H81" s="292">
        <v>37554</v>
      </c>
      <c r="I81" s="292">
        <v>3094765</v>
      </c>
      <c r="J81" s="292">
        <v>2027098</v>
      </c>
      <c r="K81" s="292">
        <v>1067667</v>
      </c>
      <c r="L81" s="292">
        <v>-1030113</v>
      </c>
    </row>
    <row r="82" spans="1:12" ht="30.75" x14ac:dyDescent="0.25">
      <c r="A82" s="83" t="s">
        <v>397</v>
      </c>
      <c r="B82" s="201" t="s">
        <v>338</v>
      </c>
      <c r="C82" s="5" t="s">
        <v>339</v>
      </c>
      <c r="D82" s="83">
        <v>237</v>
      </c>
      <c r="E82" s="292">
        <v>853887</v>
      </c>
      <c r="F82" s="292">
        <v>840901</v>
      </c>
      <c r="G82" s="191" t="s">
        <v>140</v>
      </c>
      <c r="H82" s="292">
        <v>12986</v>
      </c>
      <c r="I82" s="292">
        <v>0</v>
      </c>
      <c r="J82" s="292">
        <v>0</v>
      </c>
      <c r="K82" s="292">
        <v>0</v>
      </c>
      <c r="L82" s="292">
        <v>12986</v>
      </c>
    </row>
    <row r="83" spans="1:12" x14ac:dyDescent="0.25">
      <c r="A83" s="83" t="s">
        <v>397</v>
      </c>
      <c r="B83" s="201" t="s">
        <v>582</v>
      </c>
      <c r="C83" s="5" t="s">
        <v>583</v>
      </c>
      <c r="D83" s="83">
        <v>347</v>
      </c>
      <c r="E83" s="292">
        <v>4028725</v>
      </c>
      <c r="F83" s="292">
        <v>3654701</v>
      </c>
      <c r="G83" s="191" t="s">
        <v>140</v>
      </c>
      <c r="H83" s="292">
        <v>374024</v>
      </c>
      <c r="I83" s="292">
        <v>827296</v>
      </c>
      <c r="J83" s="292">
        <v>827296</v>
      </c>
      <c r="K83" s="292">
        <v>0</v>
      </c>
      <c r="L83" s="292">
        <v>374024</v>
      </c>
    </row>
    <row r="84" spans="1:12" ht="15.75" customHeight="1" x14ac:dyDescent="0.25">
      <c r="A84" s="83" t="s">
        <v>397</v>
      </c>
      <c r="B84" s="201" t="s">
        <v>584</v>
      </c>
      <c r="C84" s="5" t="s">
        <v>327</v>
      </c>
      <c r="D84" s="83">
        <v>238</v>
      </c>
      <c r="E84" s="292">
        <v>977889</v>
      </c>
      <c r="F84" s="292">
        <v>963273</v>
      </c>
      <c r="G84" s="191" t="s">
        <v>140</v>
      </c>
      <c r="H84" s="292">
        <v>14616</v>
      </c>
      <c r="I84" s="292">
        <v>0</v>
      </c>
      <c r="J84" s="292">
        <v>0</v>
      </c>
      <c r="K84" s="292">
        <v>0</v>
      </c>
      <c r="L84" s="292">
        <v>14616</v>
      </c>
    </row>
    <row r="85" spans="1:12" x14ac:dyDescent="0.25">
      <c r="A85" s="202" t="s">
        <v>398</v>
      </c>
      <c r="B85" s="87" t="s">
        <v>140</v>
      </c>
      <c r="C85" s="87" t="s">
        <v>140</v>
      </c>
      <c r="D85" s="87" t="s">
        <v>140</v>
      </c>
      <c r="E85" s="244">
        <f>SUBTOTAL(109,college200607[Program
Costs])</f>
        <v>12389117</v>
      </c>
      <c r="F85" s="244">
        <f>SUBTOTAL(109,college200607[Less: Net Payments and Offsets2])</f>
        <v>11493132</v>
      </c>
      <c r="G85" s="87" t="s">
        <v>140</v>
      </c>
      <c r="H85" s="244">
        <f>SUBTOTAL(109,college200607[Accounts Payable
Balance])</f>
        <v>895985</v>
      </c>
      <c r="I85" s="244">
        <f>SUBTOTAL(109,college200607[Established
Accounts Receivable])</f>
        <v>3922061</v>
      </c>
      <c r="J85" s="244">
        <f>SUBTOTAL(109,college200607[Less: Recovered Amount])</f>
        <v>2854394</v>
      </c>
      <c r="K85" s="244">
        <f>SUBTOTAL(109,college200607[Accounts Receivable
Balance])</f>
        <v>1067667</v>
      </c>
      <c r="L85" s="244">
        <f>SUBTOTAL(109,college200607[Net
Balance])</f>
        <v>-171682</v>
      </c>
    </row>
    <row r="86" spans="1:12" x14ac:dyDescent="0.25">
      <c r="A86" s="195" t="s">
        <v>141</v>
      </c>
      <c r="B86" s="201"/>
      <c r="C86" s="5"/>
      <c r="D86" s="83"/>
      <c r="E86" s="193"/>
      <c r="F86" s="193"/>
      <c r="G86" s="228"/>
      <c r="H86" s="193"/>
      <c r="I86" s="193"/>
      <c r="J86" s="193"/>
      <c r="K86" s="193"/>
      <c r="L86" s="193"/>
    </row>
    <row r="87" spans="1:12" ht="50.1" customHeight="1" x14ac:dyDescent="0.25">
      <c r="A87" s="10" t="s">
        <v>5</v>
      </c>
      <c r="B87" s="10" t="s">
        <v>6</v>
      </c>
      <c r="C87" s="10" t="s">
        <v>0</v>
      </c>
      <c r="D87" s="10" t="s">
        <v>139</v>
      </c>
      <c r="E87" s="215" t="s">
        <v>234</v>
      </c>
      <c r="F87" s="216" t="s">
        <v>452</v>
      </c>
      <c r="G87" s="217" t="s">
        <v>142</v>
      </c>
      <c r="H87" s="215" t="s">
        <v>444</v>
      </c>
      <c r="I87" s="215" t="s">
        <v>445</v>
      </c>
      <c r="J87" s="215" t="s">
        <v>446</v>
      </c>
      <c r="K87" s="215" t="s">
        <v>447</v>
      </c>
      <c r="L87" s="215" t="s">
        <v>305</v>
      </c>
    </row>
    <row r="88" spans="1:12" ht="30.75" x14ac:dyDescent="0.25">
      <c r="A88" s="83" t="s">
        <v>399</v>
      </c>
      <c r="B88" s="201" t="s">
        <v>587</v>
      </c>
      <c r="C88" s="5" t="s">
        <v>588</v>
      </c>
      <c r="D88" s="83">
        <v>234</v>
      </c>
      <c r="E88" s="292">
        <v>3298552</v>
      </c>
      <c r="F88" s="292">
        <v>3211845</v>
      </c>
      <c r="G88" s="191" t="s">
        <v>140</v>
      </c>
      <c r="H88" s="292">
        <v>86707</v>
      </c>
      <c r="I88" s="292">
        <v>0</v>
      </c>
      <c r="J88" s="292">
        <v>0</v>
      </c>
      <c r="K88" s="292">
        <v>0</v>
      </c>
      <c r="L88" s="292">
        <v>86707</v>
      </c>
    </row>
    <row r="89" spans="1:12" ht="30.75" x14ac:dyDescent="0.25">
      <c r="A89" s="83" t="s">
        <v>399</v>
      </c>
      <c r="B89" s="201" t="s">
        <v>338</v>
      </c>
      <c r="C89" s="5" t="s">
        <v>339</v>
      </c>
      <c r="D89" s="83">
        <v>237</v>
      </c>
      <c r="E89" s="292">
        <v>892507</v>
      </c>
      <c r="F89" s="292">
        <v>892507</v>
      </c>
      <c r="G89" s="191" t="s">
        <v>140</v>
      </c>
      <c r="H89" s="292">
        <v>0</v>
      </c>
      <c r="I89" s="292">
        <v>159704</v>
      </c>
      <c r="J89" s="292">
        <v>145885</v>
      </c>
      <c r="K89" s="292">
        <v>13819</v>
      </c>
      <c r="L89" s="292">
        <v>-13819</v>
      </c>
    </row>
    <row r="90" spans="1:12" ht="15.75" customHeight="1" x14ac:dyDescent="0.25">
      <c r="A90" s="83" t="s">
        <v>399</v>
      </c>
      <c r="B90" s="201" t="s">
        <v>584</v>
      </c>
      <c r="C90" s="5" t="s">
        <v>327</v>
      </c>
      <c r="D90" s="83">
        <v>238</v>
      </c>
      <c r="E90" s="292">
        <v>916470</v>
      </c>
      <c r="F90" s="292">
        <v>916470</v>
      </c>
      <c r="G90" s="191" t="s">
        <v>140</v>
      </c>
      <c r="H90" s="292">
        <v>0</v>
      </c>
      <c r="I90" s="292">
        <v>146531</v>
      </c>
      <c r="J90" s="292">
        <v>105462</v>
      </c>
      <c r="K90" s="292">
        <v>41069</v>
      </c>
      <c r="L90" s="292">
        <v>-41069</v>
      </c>
    </row>
    <row r="91" spans="1:12" x14ac:dyDescent="0.25">
      <c r="A91" s="202" t="s">
        <v>400</v>
      </c>
      <c r="B91" s="87" t="s">
        <v>140</v>
      </c>
      <c r="C91" s="87" t="s">
        <v>140</v>
      </c>
      <c r="D91" s="87" t="s">
        <v>140</v>
      </c>
      <c r="E91" s="244">
        <f>SUBTOTAL(109,college200506[Program
Costs])</f>
        <v>5107529</v>
      </c>
      <c r="F91" s="244">
        <f>SUBTOTAL(109,college200506[Less: Net Payments and Offsets2])</f>
        <v>5020822</v>
      </c>
      <c r="G91" s="87" t="s">
        <v>140</v>
      </c>
      <c r="H91" s="244">
        <f>SUBTOTAL(109,college200506[Accounts Payable
Balance])</f>
        <v>86707</v>
      </c>
      <c r="I91" s="244">
        <f>SUBTOTAL(109,college200506[Established
Accounts Receivable])</f>
        <v>306235</v>
      </c>
      <c r="J91" s="244">
        <f>SUBTOTAL(109,college200506[Less: Recovered Amount])</f>
        <v>251347</v>
      </c>
      <c r="K91" s="244">
        <f>SUBTOTAL(109,college200506[Accounts Receivable
Balance])</f>
        <v>54888</v>
      </c>
      <c r="L91" s="244">
        <f>SUBTOTAL(109,college200506[Net
Balance])</f>
        <v>31819</v>
      </c>
    </row>
    <row r="92" spans="1:12" x14ac:dyDescent="0.25">
      <c r="A92" s="195" t="s">
        <v>141</v>
      </c>
      <c r="B92" s="201"/>
      <c r="C92" s="5"/>
      <c r="D92" s="83"/>
      <c r="E92" s="193"/>
      <c r="F92" s="193"/>
      <c r="G92" s="228"/>
      <c r="H92" s="193"/>
      <c r="I92" s="193"/>
      <c r="J92" s="193"/>
      <c r="K92" s="193"/>
      <c r="L92" s="193"/>
    </row>
    <row r="93" spans="1:12" ht="50.1" customHeight="1" x14ac:dyDescent="0.25">
      <c r="A93" s="10" t="s">
        <v>5</v>
      </c>
      <c r="B93" s="10" t="s">
        <v>6</v>
      </c>
      <c r="C93" s="10" t="s">
        <v>0</v>
      </c>
      <c r="D93" s="10" t="s">
        <v>139</v>
      </c>
      <c r="E93" s="215" t="s">
        <v>234</v>
      </c>
      <c r="F93" s="216" t="s">
        <v>452</v>
      </c>
      <c r="G93" s="217" t="s">
        <v>142</v>
      </c>
      <c r="H93" s="215" t="s">
        <v>444</v>
      </c>
      <c r="I93" s="215" t="s">
        <v>445</v>
      </c>
      <c r="J93" s="215" t="s">
        <v>446</v>
      </c>
      <c r="K93" s="215" t="s">
        <v>447</v>
      </c>
      <c r="L93" s="215" t="s">
        <v>305</v>
      </c>
    </row>
    <row r="94" spans="1:12" x14ac:dyDescent="0.25">
      <c r="A94" s="83" t="s">
        <v>403</v>
      </c>
      <c r="B94" s="201" t="s">
        <v>590</v>
      </c>
      <c r="C94" s="5" t="s">
        <v>591</v>
      </c>
      <c r="D94" s="83">
        <v>256</v>
      </c>
      <c r="E94" s="292">
        <v>948601</v>
      </c>
      <c r="F94" s="292">
        <v>935719</v>
      </c>
      <c r="G94" s="191" t="s">
        <v>140</v>
      </c>
      <c r="H94" s="292">
        <v>12882</v>
      </c>
      <c r="I94" s="292">
        <v>408288</v>
      </c>
      <c r="J94" s="292">
        <v>408288</v>
      </c>
      <c r="K94" s="292">
        <v>0</v>
      </c>
      <c r="L94" s="292">
        <v>12882</v>
      </c>
    </row>
    <row r="95" spans="1:12" x14ac:dyDescent="0.25">
      <c r="A95" s="202" t="s">
        <v>404</v>
      </c>
      <c r="B95" s="87" t="s">
        <v>140</v>
      </c>
      <c r="C95" s="87" t="s">
        <v>140</v>
      </c>
      <c r="D95" s="87" t="s">
        <v>140</v>
      </c>
      <c r="E95" s="244">
        <f>SUBTOTAL(109,college200304[Program
Costs])</f>
        <v>948601</v>
      </c>
      <c r="F95" s="244">
        <f>SUBTOTAL(109,college200304[Less: Net Payments and Offsets2])</f>
        <v>935719</v>
      </c>
      <c r="G95" s="87" t="s">
        <v>140</v>
      </c>
      <c r="H95" s="244">
        <f>SUBTOTAL(109,college200304[Accounts Payable
Balance])</f>
        <v>12882</v>
      </c>
      <c r="I95" s="244">
        <f>SUBTOTAL(109,college200304[Established
Accounts Receivable])</f>
        <v>408288</v>
      </c>
      <c r="J95" s="244">
        <f>SUBTOTAL(109,college200304[Less: Recovered Amount])</f>
        <v>408288</v>
      </c>
      <c r="K95" s="244">
        <f>SUBTOTAL(109,college200304[Accounts Receivable
Balance])</f>
        <v>0</v>
      </c>
      <c r="L95" s="244">
        <f>SUBTOTAL(109,college200304[Net
Balance])</f>
        <v>12882</v>
      </c>
    </row>
    <row r="96" spans="1:12" x14ac:dyDescent="0.25">
      <c r="A96" s="195" t="s">
        <v>141</v>
      </c>
      <c r="B96" s="201"/>
      <c r="C96" s="5"/>
      <c r="D96" s="83"/>
      <c r="E96" s="193"/>
      <c r="F96" s="193"/>
      <c r="G96" s="228"/>
      <c r="H96" s="193"/>
      <c r="I96" s="193"/>
      <c r="J96" s="193"/>
      <c r="K96" s="193"/>
      <c r="L96" s="193"/>
    </row>
    <row r="97" spans="1:12" ht="50.1" customHeight="1" x14ac:dyDescent="0.25">
      <c r="A97" s="10" t="s">
        <v>5</v>
      </c>
      <c r="B97" s="10" t="s">
        <v>6</v>
      </c>
      <c r="C97" s="10" t="s">
        <v>0</v>
      </c>
      <c r="D97" s="10" t="s">
        <v>139</v>
      </c>
      <c r="E97" s="215" t="s">
        <v>234</v>
      </c>
      <c r="F97" s="216" t="s">
        <v>452</v>
      </c>
      <c r="G97" s="217" t="s">
        <v>142</v>
      </c>
      <c r="H97" s="215" t="s">
        <v>444</v>
      </c>
      <c r="I97" s="215" t="s">
        <v>445</v>
      </c>
      <c r="J97" s="215" t="s">
        <v>446</v>
      </c>
      <c r="K97" s="215" t="s">
        <v>447</v>
      </c>
      <c r="L97" s="215" t="s">
        <v>305</v>
      </c>
    </row>
    <row r="98" spans="1:12" ht="45.75" x14ac:dyDescent="0.25">
      <c r="A98" s="83" t="s">
        <v>405</v>
      </c>
      <c r="B98" s="201" t="s">
        <v>72</v>
      </c>
      <c r="C98" s="5" t="s">
        <v>13</v>
      </c>
      <c r="D98" s="83">
        <v>232</v>
      </c>
      <c r="E98" s="292">
        <v>7841169</v>
      </c>
      <c r="F98" s="292">
        <v>7841169</v>
      </c>
      <c r="G98" s="191" t="s">
        <v>140</v>
      </c>
      <c r="H98" s="292">
        <v>0</v>
      </c>
      <c r="I98" s="292">
        <v>595489</v>
      </c>
      <c r="J98" s="292">
        <v>371172</v>
      </c>
      <c r="K98" s="292">
        <v>224317</v>
      </c>
      <c r="L98" s="292">
        <v>-224317</v>
      </c>
    </row>
    <row r="99" spans="1:12" ht="30.75" x14ac:dyDescent="0.25">
      <c r="A99" s="83" t="s">
        <v>405</v>
      </c>
      <c r="B99" s="201" t="s">
        <v>587</v>
      </c>
      <c r="C99" s="5" t="s">
        <v>588</v>
      </c>
      <c r="D99" s="83">
        <v>234</v>
      </c>
      <c r="E99" s="292">
        <v>5439156</v>
      </c>
      <c r="F99" s="292">
        <v>5439156</v>
      </c>
      <c r="G99" s="191" t="s">
        <v>140</v>
      </c>
      <c r="H99" s="292">
        <v>0</v>
      </c>
      <c r="I99" s="292">
        <v>3547273</v>
      </c>
      <c r="J99" s="292">
        <v>2826984</v>
      </c>
      <c r="K99" s="292">
        <v>720289</v>
      </c>
      <c r="L99" s="292">
        <v>-720289</v>
      </c>
    </row>
    <row r="100" spans="1:12" x14ac:dyDescent="0.25">
      <c r="A100" s="83" t="s">
        <v>405</v>
      </c>
      <c r="B100" s="201" t="s">
        <v>590</v>
      </c>
      <c r="C100" s="5" t="s">
        <v>591</v>
      </c>
      <c r="D100" s="83">
        <v>256</v>
      </c>
      <c r="E100" s="292">
        <v>1631298</v>
      </c>
      <c r="F100" s="292">
        <v>1621000</v>
      </c>
      <c r="G100" s="191" t="s">
        <v>140</v>
      </c>
      <c r="H100" s="292">
        <v>10298</v>
      </c>
      <c r="I100" s="292">
        <v>173451</v>
      </c>
      <c r="J100" s="292">
        <v>79181</v>
      </c>
      <c r="K100" s="292">
        <v>94270</v>
      </c>
      <c r="L100" s="292">
        <v>-83972</v>
      </c>
    </row>
    <row r="101" spans="1:12" x14ac:dyDescent="0.25">
      <c r="A101" s="202" t="s">
        <v>406</v>
      </c>
      <c r="B101" s="87" t="s">
        <v>140</v>
      </c>
      <c r="C101" s="87" t="s">
        <v>140</v>
      </c>
      <c r="D101" s="87" t="s">
        <v>140</v>
      </c>
      <c r="E101" s="244">
        <f>SUBTOTAL(109,college200203[Program
Costs])</f>
        <v>14911623</v>
      </c>
      <c r="F101" s="244">
        <f>SUBTOTAL(109,college200203[Less: Net Payments and Offsets2])</f>
        <v>14901325</v>
      </c>
      <c r="G101" s="87" t="s">
        <v>140</v>
      </c>
      <c r="H101" s="244">
        <f>SUBTOTAL(109,college200203[Accounts Payable
Balance])</f>
        <v>10298</v>
      </c>
      <c r="I101" s="244">
        <f>SUBTOTAL(109,college200203[Established
Accounts Receivable])</f>
        <v>4316213</v>
      </c>
      <c r="J101" s="244">
        <f>SUBTOTAL(109,college200203[Less: Recovered Amount])</f>
        <v>3277337</v>
      </c>
      <c r="K101" s="244">
        <f>SUBTOTAL(109,college200203[Accounts Receivable
Balance])</f>
        <v>1038876</v>
      </c>
      <c r="L101" s="244">
        <f>SUBTOTAL(109,college200203[Net
Balance])</f>
        <v>-1028578</v>
      </c>
    </row>
    <row r="102" spans="1:12" x14ac:dyDescent="0.25">
      <c r="A102" s="195" t="s">
        <v>141</v>
      </c>
      <c r="B102" s="201"/>
      <c r="C102" s="5"/>
      <c r="D102" s="83"/>
      <c r="E102" s="193"/>
      <c r="F102" s="193"/>
      <c r="G102" s="228"/>
      <c r="H102" s="193"/>
      <c r="I102" s="193"/>
      <c r="J102" s="193"/>
      <c r="K102" s="193"/>
      <c r="L102" s="193"/>
    </row>
    <row r="103" spans="1:12" ht="50.1" customHeight="1" x14ac:dyDescent="0.25">
      <c r="A103" s="10" t="s">
        <v>5</v>
      </c>
      <c r="B103" s="10" t="s">
        <v>6</v>
      </c>
      <c r="C103" s="10" t="s">
        <v>0</v>
      </c>
      <c r="D103" s="10" t="s">
        <v>139</v>
      </c>
      <c r="E103" s="215" t="s">
        <v>234</v>
      </c>
      <c r="F103" s="216" t="s">
        <v>452</v>
      </c>
      <c r="G103" s="217" t="s">
        <v>142</v>
      </c>
      <c r="H103" s="215" t="s">
        <v>444</v>
      </c>
      <c r="I103" s="215" t="s">
        <v>445</v>
      </c>
      <c r="J103" s="215" t="s">
        <v>446</v>
      </c>
      <c r="K103" s="215" t="s">
        <v>447</v>
      </c>
      <c r="L103" s="215" t="s">
        <v>305</v>
      </c>
    </row>
    <row r="104" spans="1:12" ht="45.75" x14ac:dyDescent="0.25">
      <c r="A104" s="83" t="s">
        <v>407</v>
      </c>
      <c r="B104" s="201" t="s">
        <v>72</v>
      </c>
      <c r="C104" s="5" t="s">
        <v>13</v>
      </c>
      <c r="D104" s="83">
        <v>232</v>
      </c>
      <c r="E104" s="292">
        <v>9111555</v>
      </c>
      <c r="F104" s="292">
        <v>9111555</v>
      </c>
      <c r="G104" s="191" t="s">
        <v>140</v>
      </c>
      <c r="H104" s="292">
        <v>0</v>
      </c>
      <c r="I104" s="292">
        <v>974170</v>
      </c>
      <c r="J104" s="292">
        <v>940305</v>
      </c>
      <c r="K104" s="292">
        <v>33865</v>
      </c>
      <c r="L104" s="292">
        <v>-33865</v>
      </c>
    </row>
    <row r="105" spans="1:12" ht="30.75" x14ac:dyDescent="0.25">
      <c r="A105" s="83" t="s">
        <v>407</v>
      </c>
      <c r="B105" s="201" t="s">
        <v>587</v>
      </c>
      <c r="C105" s="5" t="s">
        <v>588</v>
      </c>
      <c r="D105" s="83">
        <v>234</v>
      </c>
      <c r="E105" s="292">
        <v>4879964</v>
      </c>
      <c r="F105" s="292">
        <v>4879964</v>
      </c>
      <c r="G105" s="191" t="s">
        <v>140</v>
      </c>
      <c r="H105" s="292">
        <v>0</v>
      </c>
      <c r="I105" s="292">
        <v>1191500</v>
      </c>
      <c r="J105" s="292">
        <v>934750</v>
      </c>
      <c r="K105" s="292">
        <v>256750</v>
      </c>
      <c r="L105" s="292">
        <v>-256750</v>
      </c>
    </row>
    <row r="106" spans="1:12" x14ac:dyDescent="0.25">
      <c r="A106" s="83" t="s">
        <v>407</v>
      </c>
      <c r="B106" s="201" t="s">
        <v>590</v>
      </c>
      <c r="C106" s="5" t="s">
        <v>591</v>
      </c>
      <c r="D106" s="83">
        <v>256</v>
      </c>
      <c r="E106" s="292">
        <v>1574646</v>
      </c>
      <c r="F106" s="292">
        <v>1571441</v>
      </c>
      <c r="G106" s="191" t="s">
        <v>140</v>
      </c>
      <c r="H106" s="292">
        <v>3205</v>
      </c>
      <c r="I106" s="292">
        <v>71971</v>
      </c>
      <c r="J106" s="292">
        <v>36921</v>
      </c>
      <c r="K106" s="292">
        <v>35050</v>
      </c>
      <c r="L106" s="292">
        <v>-31845</v>
      </c>
    </row>
    <row r="107" spans="1:12" x14ac:dyDescent="0.25">
      <c r="A107" s="202" t="s">
        <v>410</v>
      </c>
      <c r="B107" s="87" t="s">
        <v>140</v>
      </c>
      <c r="C107" s="87" t="s">
        <v>140</v>
      </c>
      <c r="D107" s="87" t="s">
        <v>140</v>
      </c>
      <c r="E107" s="244">
        <f>SUBTOTAL(109,college200102[Program
Costs])</f>
        <v>15566165</v>
      </c>
      <c r="F107" s="244">
        <f>SUBTOTAL(109,college200102[Less: Net Payments and Offsets2])</f>
        <v>15562960</v>
      </c>
      <c r="G107" s="87" t="s">
        <v>140</v>
      </c>
      <c r="H107" s="244">
        <f>SUBTOTAL(109,college200102[Accounts Payable
Balance])</f>
        <v>3205</v>
      </c>
      <c r="I107" s="244">
        <f>SUBTOTAL(109,college200102[Established
Accounts Receivable])</f>
        <v>2237641</v>
      </c>
      <c r="J107" s="244">
        <f>SUBTOTAL(109,college200102[Less: Recovered Amount])</f>
        <v>1911976</v>
      </c>
      <c r="K107" s="244">
        <f>SUBTOTAL(109,college200102[Accounts Receivable
Balance])</f>
        <v>325665</v>
      </c>
      <c r="L107" s="244">
        <f>SUBTOTAL(109,college200102[Net
Balance])</f>
        <v>-322460</v>
      </c>
    </row>
    <row r="108" spans="1:12" x14ac:dyDescent="0.25">
      <c r="A108" s="195" t="s">
        <v>141</v>
      </c>
      <c r="B108" s="201"/>
      <c r="C108" s="5"/>
      <c r="D108" s="83"/>
      <c r="E108" s="193"/>
      <c r="F108" s="193"/>
      <c r="G108" s="228"/>
      <c r="H108" s="193"/>
      <c r="I108" s="193"/>
      <c r="J108" s="193"/>
      <c r="K108" s="193"/>
      <c r="L108" s="193"/>
    </row>
    <row r="109" spans="1:12" ht="50.1" customHeight="1" x14ac:dyDescent="0.25">
      <c r="A109" s="10" t="s">
        <v>5</v>
      </c>
      <c r="B109" s="10" t="s">
        <v>6</v>
      </c>
      <c r="C109" s="10" t="s">
        <v>0</v>
      </c>
      <c r="D109" s="10" t="s">
        <v>139</v>
      </c>
      <c r="E109" s="215" t="s">
        <v>234</v>
      </c>
      <c r="F109" s="216" t="s">
        <v>452</v>
      </c>
      <c r="G109" s="217" t="s">
        <v>142</v>
      </c>
      <c r="H109" s="215" t="s">
        <v>444</v>
      </c>
      <c r="I109" s="215" t="s">
        <v>445</v>
      </c>
      <c r="J109" s="215" t="s">
        <v>446</v>
      </c>
      <c r="K109" s="215" t="s">
        <v>447</v>
      </c>
      <c r="L109" s="215" t="s">
        <v>305</v>
      </c>
    </row>
    <row r="110" spans="1:12" ht="30.75" x14ac:dyDescent="0.25">
      <c r="A110" s="83" t="s">
        <v>411</v>
      </c>
      <c r="B110" s="201" t="s">
        <v>338</v>
      </c>
      <c r="C110" s="5" t="s">
        <v>339</v>
      </c>
      <c r="D110" s="83">
        <v>237</v>
      </c>
      <c r="E110" s="292">
        <v>614433</v>
      </c>
      <c r="F110" s="292">
        <v>614433</v>
      </c>
      <c r="G110" s="191" t="s">
        <v>140</v>
      </c>
      <c r="H110" s="292">
        <v>0</v>
      </c>
      <c r="I110" s="292">
        <v>11162</v>
      </c>
      <c r="J110" s="292">
        <v>9987</v>
      </c>
      <c r="K110" s="292">
        <v>1175</v>
      </c>
      <c r="L110" s="292">
        <v>-1175</v>
      </c>
    </row>
    <row r="111" spans="1:12" x14ac:dyDescent="0.25">
      <c r="A111" s="202" t="s">
        <v>412</v>
      </c>
      <c r="B111" s="87" t="s">
        <v>140</v>
      </c>
      <c r="C111" s="87" t="s">
        <v>140</v>
      </c>
      <c r="D111" s="87" t="s">
        <v>140</v>
      </c>
      <c r="E111" s="244">
        <f>SUBTOTAL(109,college200001[Program
Costs])</f>
        <v>614433</v>
      </c>
      <c r="F111" s="244">
        <f>SUBTOTAL(109,college200001[Less: Net Payments and Offsets2])</f>
        <v>614433</v>
      </c>
      <c r="G111" s="87" t="s">
        <v>140</v>
      </c>
      <c r="H111" s="244">
        <f>SUBTOTAL(109,college200001[Accounts Payable
Balance])</f>
        <v>0</v>
      </c>
      <c r="I111" s="244">
        <f>SUBTOTAL(109,college200001[Established
Accounts Receivable])</f>
        <v>11162</v>
      </c>
      <c r="J111" s="244">
        <f>SUBTOTAL(109,college200001[Less: Recovered Amount])</f>
        <v>9987</v>
      </c>
      <c r="K111" s="244">
        <f>SUBTOTAL(109,college200001[Accounts Receivable
Balance])</f>
        <v>1175</v>
      </c>
      <c r="L111" s="244">
        <f>SUBTOTAL(109,college200001[Net
Balance])</f>
        <v>-1175</v>
      </c>
    </row>
    <row r="112" spans="1:12" x14ac:dyDescent="0.25">
      <c r="A112" s="195" t="s">
        <v>141</v>
      </c>
      <c r="B112" s="201"/>
      <c r="C112" s="5"/>
      <c r="D112" s="83"/>
      <c r="E112" s="193"/>
      <c r="F112" s="193"/>
      <c r="G112" s="228"/>
      <c r="H112" s="193"/>
      <c r="I112" s="193"/>
      <c r="J112" s="193"/>
      <c r="K112" s="193"/>
      <c r="L112" s="193"/>
    </row>
    <row r="113" spans="1:12" ht="50.1" customHeight="1" x14ac:dyDescent="0.25">
      <c r="A113" s="10" t="s">
        <v>5</v>
      </c>
      <c r="B113" s="10" t="s">
        <v>6</v>
      </c>
      <c r="C113" s="10" t="s">
        <v>0</v>
      </c>
      <c r="D113" s="10" t="s">
        <v>139</v>
      </c>
      <c r="E113" s="215" t="s">
        <v>234</v>
      </c>
      <c r="F113" s="216" t="s">
        <v>452</v>
      </c>
      <c r="G113" s="217" t="s">
        <v>142</v>
      </c>
      <c r="H113" s="215" t="s">
        <v>444</v>
      </c>
      <c r="I113" s="215" t="s">
        <v>445</v>
      </c>
      <c r="J113" s="215" t="s">
        <v>446</v>
      </c>
      <c r="K113" s="215" t="s">
        <v>447</v>
      </c>
      <c r="L113" s="215" t="s">
        <v>305</v>
      </c>
    </row>
    <row r="114" spans="1:12" ht="30.75" x14ac:dyDescent="0.25">
      <c r="A114" s="83" t="s">
        <v>413</v>
      </c>
      <c r="B114" s="201" t="s">
        <v>338</v>
      </c>
      <c r="C114" s="5" t="s">
        <v>339</v>
      </c>
      <c r="D114" s="83">
        <v>237</v>
      </c>
      <c r="E114" s="292">
        <v>28469</v>
      </c>
      <c r="F114" s="292">
        <v>28469</v>
      </c>
      <c r="G114" s="191" t="s">
        <v>140</v>
      </c>
      <c r="H114" s="292">
        <v>0</v>
      </c>
      <c r="I114" s="292">
        <v>17658</v>
      </c>
      <c r="J114" s="292">
        <v>8829</v>
      </c>
      <c r="K114" s="292">
        <v>8829</v>
      </c>
      <c r="L114" s="292">
        <v>-8829</v>
      </c>
    </row>
    <row r="115" spans="1:12" x14ac:dyDescent="0.25">
      <c r="A115" s="202" t="s">
        <v>416</v>
      </c>
      <c r="B115" s="87" t="s">
        <v>140</v>
      </c>
      <c r="C115" s="87" t="s">
        <v>140</v>
      </c>
      <c r="D115" s="87" t="s">
        <v>140</v>
      </c>
      <c r="E115" s="244">
        <f>SUBTOTAL(109,college199900[Program
Costs])</f>
        <v>28469</v>
      </c>
      <c r="F115" s="244">
        <f>SUBTOTAL(109,college199900[Less: Net Payments and Offsets2])</f>
        <v>28469</v>
      </c>
      <c r="G115" s="87" t="s">
        <v>140</v>
      </c>
      <c r="H115" s="244">
        <f>SUBTOTAL(109,college199900[Accounts Payable
Balance])</f>
        <v>0</v>
      </c>
      <c r="I115" s="244">
        <f>SUBTOTAL(109,college199900[Established
Accounts Receivable])</f>
        <v>17658</v>
      </c>
      <c r="J115" s="244">
        <f>SUBTOTAL(109,college199900[Less: Recovered Amount])</f>
        <v>8829</v>
      </c>
      <c r="K115" s="244">
        <f>SUBTOTAL(109,college199900[Accounts Receivable
Balance])</f>
        <v>8829</v>
      </c>
      <c r="L115" s="244">
        <f>SUBTOTAL(109,college199900[Net
Balance])</f>
        <v>-8829</v>
      </c>
    </row>
    <row r="116" spans="1:12" x14ac:dyDescent="0.25">
      <c r="A116" s="195" t="s">
        <v>141</v>
      </c>
      <c r="B116" s="201"/>
      <c r="C116" s="5"/>
      <c r="D116" s="83"/>
      <c r="E116" s="193"/>
      <c r="F116" s="193"/>
      <c r="G116" s="228"/>
      <c r="H116" s="193"/>
      <c r="I116" s="193"/>
      <c r="J116" s="193"/>
      <c r="K116" s="193"/>
      <c r="L116" s="193"/>
    </row>
    <row r="117" spans="1:12" ht="50.1" customHeight="1" x14ac:dyDescent="0.25">
      <c r="A117" s="10" t="s">
        <v>5</v>
      </c>
      <c r="B117" s="10" t="s">
        <v>6</v>
      </c>
      <c r="C117" s="10" t="s">
        <v>0</v>
      </c>
      <c r="D117" s="10" t="s">
        <v>139</v>
      </c>
      <c r="E117" s="215" t="s">
        <v>234</v>
      </c>
      <c r="F117" s="216" t="s">
        <v>452</v>
      </c>
      <c r="G117" s="217" t="s">
        <v>142</v>
      </c>
      <c r="H117" s="215" t="s">
        <v>444</v>
      </c>
      <c r="I117" s="215" t="s">
        <v>445</v>
      </c>
      <c r="J117" s="215" t="s">
        <v>446</v>
      </c>
      <c r="K117" s="215" t="s">
        <v>447</v>
      </c>
      <c r="L117" s="215" t="s">
        <v>305</v>
      </c>
    </row>
    <row r="118" spans="1:12" ht="30.75" x14ac:dyDescent="0.25">
      <c r="A118" s="83" t="s">
        <v>417</v>
      </c>
      <c r="B118" s="201" t="s">
        <v>581</v>
      </c>
      <c r="C118" s="5" t="s">
        <v>488</v>
      </c>
      <c r="D118" s="83">
        <v>267</v>
      </c>
      <c r="E118" s="290">
        <v>3447372</v>
      </c>
      <c r="F118" s="290">
        <v>3447372</v>
      </c>
      <c r="G118" s="191" t="s">
        <v>140</v>
      </c>
      <c r="H118" s="292">
        <v>0</v>
      </c>
      <c r="I118" s="292">
        <v>2446054</v>
      </c>
      <c r="J118" s="292">
        <v>1758445</v>
      </c>
      <c r="K118" s="292">
        <v>687609</v>
      </c>
      <c r="L118" s="292">
        <v>-687609</v>
      </c>
    </row>
    <row r="119" spans="1:12" x14ac:dyDescent="0.25">
      <c r="A119" s="202" t="s">
        <v>421</v>
      </c>
      <c r="B119" s="87" t="s">
        <v>140</v>
      </c>
      <c r="C119" s="87" t="s">
        <v>140</v>
      </c>
      <c r="D119" s="87" t="s">
        <v>140</v>
      </c>
      <c r="E119" s="242">
        <f>SUBTOTAL(109,college199899[Program
Costs])</f>
        <v>3447372</v>
      </c>
      <c r="F119" s="242">
        <f>SUBTOTAL(109,college199899[Less: Net Payments and Offsets2])</f>
        <v>3447372</v>
      </c>
      <c r="G119" s="87" t="s">
        <v>140</v>
      </c>
      <c r="H119" s="244">
        <f>SUBTOTAL(109,college199899[Accounts Payable
Balance])</f>
        <v>0</v>
      </c>
      <c r="I119" s="244">
        <f>SUBTOTAL(109,college199899[Established
Accounts Receivable])</f>
        <v>2446054</v>
      </c>
      <c r="J119" s="244">
        <f>SUBTOTAL(109,college199899[Less: Recovered Amount])</f>
        <v>1758445</v>
      </c>
      <c r="K119" s="244">
        <f>SUBTOTAL(109,college199899[Accounts Receivable
Balance])</f>
        <v>687609</v>
      </c>
      <c r="L119" s="244">
        <f>SUBTOTAL(109,college199899[Net
Balance])</f>
        <v>-687609</v>
      </c>
    </row>
    <row r="120" spans="1:12" x14ac:dyDescent="0.25">
      <c r="A120" s="195" t="s">
        <v>141</v>
      </c>
      <c r="B120" s="201"/>
      <c r="C120" s="5"/>
      <c r="D120" s="83"/>
      <c r="E120" s="193"/>
      <c r="F120" s="193"/>
      <c r="G120" s="228"/>
      <c r="H120" s="193"/>
      <c r="I120" s="193"/>
      <c r="J120" s="193"/>
      <c r="K120" s="193"/>
      <c r="L120" s="193"/>
    </row>
    <row r="121" spans="1:12" ht="50.1" customHeight="1" x14ac:dyDescent="0.25">
      <c r="A121" s="10" t="s">
        <v>5</v>
      </c>
      <c r="B121" s="10" t="s">
        <v>6</v>
      </c>
      <c r="C121" s="10" t="s">
        <v>0</v>
      </c>
      <c r="D121" s="10" t="s">
        <v>139</v>
      </c>
      <c r="E121" s="215" t="s">
        <v>234</v>
      </c>
      <c r="F121" s="216" t="s">
        <v>452</v>
      </c>
      <c r="G121" s="217" t="s">
        <v>142</v>
      </c>
      <c r="H121" s="215" t="s">
        <v>444</v>
      </c>
      <c r="I121" s="215" t="s">
        <v>445</v>
      </c>
      <c r="J121" s="215" t="s">
        <v>446</v>
      </c>
      <c r="K121" s="215" t="s">
        <v>447</v>
      </c>
      <c r="L121" s="215" t="s">
        <v>305</v>
      </c>
    </row>
    <row r="122" spans="1:12" x14ac:dyDescent="0.25">
      <c r="A122" s="203" t="s">
        <v>318</v>
      </c>
      <c r="B122" s="204" t="s">
        <v>140</v>
      </c>
      <c r="C122" s="204" t="s">
        <v>140</v>
      </c>
      <c r="D122" s="204" t="s">
        <v>140</v>
      </c>
      <c r="E122" s="291">
        <v>375864</v>
      </c>
      <c r="F122" s="291">
        <v>129607</v>
      </c>
      <c r="G122" s="204" t="s">
        <v>140</v>
      </c>
      <c r="H122" s="88">
        <v>246257</v>
      </c>
      <c r="I122" s="88">
        <v>1000</v>
      </c>
      <c r="J122" s="88">
        <v>0</v>
      </c>
      <c r="K122" s="88">
        <v>1000</v>
      </c>
      <c r="L122" s="88">
        <v>245257</v>
      </c>
    </row>
    <row r="123" spans="1:12" x14ac:dyDescent="0.25">
      <c r="A123" s="205" t="s">
        <v>320</v>
      </c>
      <c r="B123" s="174" t="s">
        <v>140</v>
      </c>
      <c r="C123" s="174" t="s">
        <v>140</v>
      </c>
      <c r="D123" s="174" t="s">
        <v>140</v>
      </c>
      <c r="E123" s="230">
        <v>879477</v>
      </c>
      <c r="F123" s="230">
        <v>680345</v>
      </c>
      <c r="G123" s="174" t="s">
        <v>140</v>
      </c>
      <c r="H123" s="82">
        <v>199132</v>
      </c>
      <c r="I123" s="82">
        <v>1000</v>
      </c>
      <c r="J123" s="82">
        <v>0</v>
      </c>
      <c r="K123" s="82">
        <v>1000</v>
      </c>
      <c r="L123" s="82">
        <v>198132</v>
      </c>
    </row>
    <row r="124" spans="1:12" x14ac:dyDescent="0.25">
      <c r="A124" s="205" t="s">
        <v>322</v>
      </c>
      <c r="B124" s="174" t="s">
        <v>140</v>
      </c>
      <c r="C124" s="174" t="s">
        <v>140</v>
      </c>
      <c r="D124" s="174" t="s">
        <v>140</v>
      </c>
      <c r="E124" s="230">
        <v>922641</v>
      </c>
      <c r="F124" s="230">
        <v>525344</v>
      </c>
      <c r="G124" s="174" t="s">
        <v>140</v>
      </c>
      <c r="H124" s="82">
        <v>397297</v>
      </c>
      <c r="I124" s="82">
        <v>1000</v>
      </c>
      <c r="J124" s="82">
        <v>0</v>
      </c>
      <c r="K124" s="82">
        <v>1000</v>
      </c>
      <c r="L124" s="82">
        <v>396297</v>
      </c>
    </row>
    <row r="125" spans="1:12" x14ac:dyDescent="0.25">
      <c r="A125" s="205" t="s">
        <v>328</v>
      </c>
      <c r="B125" s="174" t="s">
        <v>140</v>
      </c>
      <c r="C125" s="174" t="s">
        <v>140</v>
      </c>
      <c r="D125" s="174" t="s">
        <v>140</v>
      </c>
      <c r="E125" s="230">
        <v>20332634</v>
      </c>
      <c r="F125" s="230">
        <v>17286258</v>
      </c>
      <c r="G125" s="174" t="s">
        <v>140</v>
      </c>
      <c r="H125" s="82">
        <v>3046376</v>
      </c>
      <c r="I125" s="82">
        <v>0</v>
      </c>
      <c r="J125" s="82">
        <v>0</v>
      </c>
      <c r="K125" s="82">
        <v>0</v>
      </c>
      <c r="L125" s="82">
        <v>3046376</v>
      </c>
    </row>
    <row r="126" spans="1:12" x14ac:dyDescent="0.25">
      <c r="A126" s="205" t="s">
        <v>342</v>
      </c>
      <c r="B126" s="174" t="s">
        <v>140</v>
      </c>
      <c r="C126" s="174" t="s">
        <v>140</v>
      </c>
      <c r="D126" s="174" t="s">
        <v>140</v>
      </c>
      <c r="E126" s="230">
        <v>16904655</v>
      </c>
      <c r="F126" s="230">
        <v>15416949</v>
      </c>
      <c r="G126" s="174" t="s">
        <v>140</v>
      </c>
      <c r="H126" s="82">
        <v>1487706</v>
      </c>
      <c r="I126" s="82">
        <v>0</v>
      </c>
      <c r="J126" s="82">
        <v>0</v>
      </c>
      <c r="K126" s="82">
        <v>0</v>
      </c>
      <c r="L126" s="82">
        <v>1487706</v>
      </c>
    </row>
    <row r="127" spans="1:12" x14ac:dyDescent="0.25">
      <c r="A127" s="205" t="s">
        <v>378</v>
      </c>
      <c r="B127" s="174" t="s">
        <v>140</v>
      </c>
      <c r="C127" s="174" t="s">
        <v>140</v>
      </c>
      <c r="D127" s="174" t="s">
        <v>140</v>
      </c>
      <c r="E127" s="230">
        <v>22815459</v>
      </c>
      <c r="F127" s="230">
        <v>21623246</v>
      </c>
      <c r="G127" s="174" t="s">
        <v>140</v>
      </c>
      <c r="H127" s="82">
        <v>1192213</v>
      </c>
      <c r="I127" s="82">
        <v>3222713</v>
      </c>
      <c r="J127" s="82">
        <v>258603</v>
      </c>
      <c r="K127" s="82">
        <v>2964110</v>
      </c>
      <c r="L127" s="82">
        <v>-1771897</v>
      </c>
    </row>
    <row r="128" spans="1:12" x14ac:dyDescent="0.25">
      <c r="A128" s="205" t="s">
        <v>390</v>
      </c>
      <c r="B128" s="174" t="s">
        <v>140</v>
      </c>
      <c r="C128" s="174" t="s">
        <v>140</v>
      </c>
      <c r="D128" s="174" t="s">
        <v>140</v>
      </c>
      <c r="E128" s="230">
        <v>24685257</v>
      </c>
      <c r="F128" s="230">
        <v>23274397</v>
      </c>
      <c r="G128" s="174" t="s">
        <v>140</v>
      </c>
      <c r="H128" s="82">
        <v>1410860</v>
      </c>
      <c r="I128" s="82">
        <v>5366794</v>
      </c>
      <c r="J128" s="82">
        <v>384373</v>
      </c>
      <c r="K128" s="82">
        <v>4982421</v>
      </c>
      <c r="L128" s="82">
        <v>-3571561</v>
      </c>
    </row>
    <row r="129" spans="1:12" x14ac:dyDescent="0.25">
      <c r="A129" s="205" t="s">
        <v>396</v>
      </c>
      <c r="B129" s="174" t="s">
        <v>140</v>
      </c>
      <c r="C129" s="174" t="s">
        <v>140</v>
      </c>
      <c r="D129" s="174" t="s">
        <v>140</v>
      </c>
      <c r="E129" s="230">
        <v>22694213</v>
      </c>
      <c r="F129" s="230">
        <v>20973335</v>
      </c>
      <c r="G129" s="174" t="s">
        <v>140</v>
      </c>
      <c r="H129" s="82">
        <v>1720878</v>
      </c>
      <c r="I129" s="82">
        <v>2671310</v>
      </c>
      <c r="J129" s="82">
        <v>1014132</v>
      </c>
      <c r="K129" s="82">
        <v>1657178</v>
      </c>
      <c r="L129" s="82">
        <v>63700</v>
      </c>
    </row>
    <row r="130" spans="1:12" x14ac:dyDescent="0.25">
      <c r="A130" s="205" t="s">
        <v>398</v>
      </c>
      <c r="B130" s="174" t="s">
        <v>140</v>
      </c>
      <c r="C130" s="174" t="s">
        <v>140</v>
      </c>
      <c r="D130" s="174" t="s">
        <v>140</v>
      </c>
      <c r="E130" s="230">
        <v>12389117</v>
      </c>
      <c r="F130" s="230">
        <v>11493132</v>
      </c>
      <c r="G130" s="174" t="s">
        <v>140</v>
      </c>
      <c r="H130" s="82">
        <v>895985</v>
      </c>
      <c r="I130" s="82">
        <v>3922061</v>
      </c>
      <c r="J130" s="82">
        <v>2854394</v>
      </c>
      <c r="K130" s="82">
        <v>1067667</v>
      </c>
      <c r="L130" s="82">
        <v>-171682</v>
      </c>
    </row>
    <row r="131" spans="1:12" x14ac:dyDescent="0.25">
      <c r="A131" s="205" t="s">
        <v>400</v>
      </c>
      <c r="B131" s="174" t="s">
        <v>140</v>
      </c>
      <c r="C131" s="174" t="s">
        <v>140</v>
      </c>
      <c r="D131" s="174" t="s">
        <v>140</v>
      </c>
      <c r="E131" s="230">
        <v>5107529</v>
      </c>
      <c r="F131" s="230">
        <v>5020822</v>
      </c>
      <c r="G131" s="174" t="s">
        <v>140</v>
      </c>
      <c r="H131" s="82">
        <v>86707</v>
      </c>
      <c r="I131" s="82">
        <v>306235</v>
      </c>
      <c r="J131" s="82">
        <v>251347</v>
      </c>
      <c r="K131" s="82">
        <v>54888</v>
      </c>
      <c r="L131" s="82">
        <v>31819</v>
      </c>
    </row>
    <row r="132" spans="1:12" x14ac:dyDescent="0.25">
      <c r="A132" s="205" t="s">
        <v>404</v>
      </c>
      <c r="B132" s="174" t="s">
        <v>140</v>
      </c>
      <c r="C132" s="174" t="s">
        <v>140</v>
      </c>
      <c r="D132" s="174" t="s">
        <v>140</v>
      </c>
      <c r="E132" s="230">
        <v>948601</v>
      </c>
      <c r="F132" s="230">
        <v>935719</v>
      </c>
      <c r="G132" s="174" t="s">
        <v>140</v>
      </c>
      <c r="H132" s="82">
        <v>12882</v>
      </c>
      <c r="I132" s="82">
        <v>408288</v>
      </c>
      <c r="J132" s="82">
        <v>408288</v>
      </c>
      <c r="K132" s="82">
        <v>0</v>
      </c>
      <c r="L132" s="82">
        <v>12882</v>
      </c>
    </row>
    <row r="133" spans="1:12" x14ac:dyDescent="0.25">
      <c r="A133" s="205" t="s">
        <v>406</v>
      </c>
      <c r="B133" s="174" t="s">
        <v>140</v>
      </c>
      <c r="C133" s="174" t="s">
        <v>140</v>
      </c>
      <c r="D133" s="174" t="s">
        <v>140</v>
      </c>
      <c r="E133" s="230">
        <v>14911623</v>
      </c>
      <c r="F133" s="230">
        <v>14901325</v>
      </c>
      <c r="G133" s="174" t="s">
        <v>140</v>
      </c>
      <c r="H133" s="82">
        <v>10298</v>
      </c>
      <c r="I133" s="82">
        <v>4316213</v>
      </c>
      <c r="J133" s="82">
        <v>3277337</v>
      </c>
      <c r="K133" s="82">
        <v>1038876</v>
      </c>
      <c r="L133" s="82">
        <v>-1028578</v>
      </c>
    </row>
    <row r="134" spans="1:12" x14ac:dyDescent="0.25">
      <c r="A134" s="205" t="s">
        <v>410</v>
      </c>
      <c r="B134" s="174" t="s">
        <v>140</v>
      </c>
      <c r="C134" s="174" t="s">
        <v>140</v>
      </c>
      <c r="D134" s="174" t="s">
        <v>140</v>
      </c>
      <c r="E134" s="230">
        <v>15566165</v>
      </c>
      <c r="F134" s="230">
        <v>15562960</v>
      </c>
      <c r="G134" s="174" t="s">
        <v>140</v>
      </c>
      <c r="H134" s="82">
        <v>3205</v>
      </c>
      <c r="I134" s="82">
        <v>2237641</v>
      </c>
      <c r="J134" s="82">
        <v>1911976</v>
      </c>
      <c r="K134" s="82">
        <v>325665</v>
      </c>
      <c r="L134" s="82">
        <v>-322460</v>
      </c>
    </row>
    <row r="135" spans="1:12" x14ac:dyDescent="0.25">
      <c r="A135" s="205" t="s">
        <v>412</v>
      </c>
      <c r="B135" s="174" t="s">
        <v>140</v>
      </c>
      <c r="C135" s="174" t="s">
        <v>140</v>
      </c>
      <c r="D135" s="174" t="s">
        <v>140</v>
      </c>
      <c r="E135" s="230">
        <v>614433</v>
      </c>
      <c r="F135" s="230">
        <v>614433</v>
      </c>
      <c r="G135" s="174" t="s">
        <v>140</v>
      </c>
      <c r="H135" s="82">
        <v>0</v>
      </c>
      <c r="I135" s="82">
        <v>11162</v>
      </c>
      <c r="J135" s="82">
        <v>9987</v>
      </c>
      <c r="K135" s="82">
        <v>1175</v>
      </c>
      <c r="L135" s="82">
        <v>-1175</v>
      </c>
    </row>
    <row r="136" spans="1:12" x14ac:dyDescent="0.25">
      <c r="A136" s="205" t="s">
        <v>416</v>
      </c>
      <c r="B136" s="174" t="s">
        <v>140</v>
      </c>
      <c r="C136" s="174" t="s">
        <v>140</v>
      </c>
      <c r="D136" s="174" t="s">
        <v>140</v>
      </c>
      <c r="E136" s="230">
        <v>28469</v>
      </c>
      <c r="F136" s="230">
        <v>28469</v>
      </c>
      <c r="G136" s="174" t="s">
        <v>140</v>
      </c>
      <c r="H136" s="82">
        <v>0</v>
      </c>
      <c r="I136" s="82">
        <v>17658</v>
      </c>
      <c r="J136" s="82">
        <v>8829</v>
      </c>
      <c r="K136" s="82">
        <v>8829</v>
      </c>
      <c r="L136" s="82">
        <v>-8829</v>
      </c>
    </row>
    <row r="137" spans="1:12" x14ac:dyDescent="0.25">
      <c r="A137" s="205" t="s">
        <v>421</v>
      </c>
      <c r="B137" s="174" t="s">
        <v>140</v>
      </c>
      <c r="C137" s="174" t="s">
        <v>140</v>
      </c>
      <c r="D137" s="174" t="s">
        <v>140</v>
      </c>
      <c r="E137" s="230">
        <v>3447372</v>
      </c>
      <c r="F137" s="230">
        <v>3447372</v>
      </c>
      <c r="G137" s="174" t="s">
        <v>140</v>
      </c>
      <c r="H137" s="82">
        <v>0</v>
      </c>
      <c r="I137" s="82">
        <v>2446054</v>
      </c>
      <c r="J137" s="82">
        <v>1758445</v>
      </c>
      <c r="K137" s="82">
        <v>687609</v>
      </c>
      <c r="L137" s="82">
        <v>-687609</v>
      </c>
    </row>
    <row r="138" spans="1:12" x14ac:dyDescent="0.25">
      <c r="A138" s="202" t="s">
        <v>594</v>
      </c>
      <c r="B138" s="87" t="s">
        <v>140</v>
      </c>
      <c r="C138" s="87" t="s">
        <v>140</v>
      </c>
      <c r="D138" s="87" t="s">
        <v>140</v>
      </c>
      <c r="E138" s="229">
        <f>SUBTOTAL(109,collegegrandtotal[Program
Costs])</f>
        <v>162623509</v>
      </c>
      <c r="F138" s="229">
        <f>SUBTOTAL(109,collegegrandtotal[Less: Net Payments and Offsets2])</f>
        <v>151913713</v>
      </c>
      <c r="G138" s="87" t="s">
        <v>140</v>
      </c>
      <c r="H138" s="80">
        <f>SUBTOTAL(109,collegegrandtotal[Accounts Payable
Balance])</f>
        <v>10709796</v>
      </c>
      <c r="I138" s="80">
        <f>SUBTOTAL(109,collegegrandtotal[Established
Accounts Receivable])</f>
        <v>24929129</v>
      </c>
      <c r="J138" s="80">
        <f>SUBTOTAL(109,collegegrandtotal[Less: Recovered Amount])</f>
        <v>12137711</v>
      </c>
      <c r="K138" s="80">
        <f>SUBTOTAL(109,collegegrandtotal[Accounts Receivable
Balance])</f>
        <v>12791418</v>
      </c>
      <c r="L138" s="80">
        <f>SUBTOTAL(109,collegegrandtotal[Net
Balance])</f>
        <v>-2081622</v>
      </c>
    </row>
    <row r="139" spans="1:12" x14ac:dyDescent="0.25">
      <c r="A139" s="195" t="s">
        <v>141</v>
      </c>
      <c r="B139" s="201"/>
      <c r="C139" s="5"/>
      <c r="D139" s="83"/>
      <c r="E139" s="193"/>
      <c r="F139" s="193"/>
      <c r="G139" s="228"/>
      <c r="H139" s="193"/>
      <c r="I139" s="193"/>
      <c r="J139" s="193"/>
      <c r="K139" s="193"/>
      <c r="L139" s="193"/>
    </row>
    <row r="140" spans="1:12" ht="50.1" customHeight="1" x14ac:dyDescent="0.25">
      <c r="A140" s="12" t="s">
        <v>5</v>
      </c>
      <c r="B140" s="12" t="s">
        <v>6</v>
      </c>
      <c r="C140" s="12" t="s">
        <v>0</v>
      </c>
      <c r="D140" s="12" t="s">
        <v>139</v>
      </c>
      <c r="E140" s="189" t="s">
        <v>234</v>
      </c>
      <c r="F140" s="197" t="s">
        <v>452</v>
      </c>
      <c r="G140" s="190" t="s">
        <v>142</v>
      </c>
      <c r="H140" s="189" t="s">
        <v>444</v>
      </c>
      <c r="I140" s="189" t="s">
        <v>445</v>
      </c>
      <c r="J140" s="189" t="s">
        <v>446</v>
      </c>
      <c r="K140" s="189" t="s">
        <v>447</v>
      </c>
      <c r="L140" s="189" t="s">
        <v>305</v>
      </c>
    </row>
    <row r="141" spans="1:12" x14ac:dyDescent="0.25">
      <c r="A141" s="231" t="s">
        <v>1</v>
      </c>
      <c r="B141" s="232" t="s">
        <v>140</v>
      </c>
      <c r="C141" s="232" t="s">
        <v>140</v>
      </c>
      <c r="D141" s="232" t="s">
        <v>140</v>
      </c>
      <c r="E141" s="274">
        <v>698363536</v>
      </c>
      <c r="F141" s="274">
        <v>322384211</v>
      </c>
      <c r="G141" s="174" t="s">
        <v>140</v>
      </c>
      <c r="H141" s="274">
        <v>375979325</v>
      </c>
      <c r="I141" s="274">
        <v>64167816</v>
      </c>
      <c r="J141" s="274">
        <v>51763603</v>
      </c>
      <c r="K141" s="274">
        <v>12404213</v>
      </c>
      <c r="L141" s="274">
        <v>363575112</v>
      </c>
    </row>
    <row r="142" spans="1:12" x14ac:dyDescent="0.25">
      <c r="A142" s="231" t="s">
        <v>4</v>
      </c>
      <c r="B142" s="232" t="s">
        <v>140</v>
      </c>
      <c r="C142" s="232" t="s">
        <v>140</v>
      </c>
      <c r="D142" s="232" t="s">
        <v>140</v>
      </c>
      <c r="E142" s="243">
        <v>6144637872</v>
      </c>
      <c r="F142" s="243">
        <v>5315115811</v>
      </c>
      <c r="G142" s="174" t="s">
        <v>140</v>
      </c>
      <c r="H142" s="243">
        <v>829522061</v>
      </c>
      <c r="I142" s="243">
        <v>195262044</v>
      </c>
      <c r="J142" s="243">
        <v>143556844</v>
      </c>
      <c r="K142" s="243">
        <v>51705200</v>
      </c>
      <c r="L142" s="243">
        <v>777816861</v>
      </c>
    </row>
    <row r="143" spans="1:12" x14ac:dyDescent="0.25">
      <c r="A143" s="231" t="s">
        <v>261</v>
      </c>
      <c r="B143" s="232" t="s">
        <v>140</v>
      </c>
      <c r="C143" s="232" t="s">
        <v>140</v>
      </c>
      <c r="D143" s="232" t="s">
        <v>140</v>
      </c>
      <c r="E143" s="243">
        <v>162623509</v>
      </c>
      <c r="F143" s="243">
        <v>151913713</v>
      </c>
      <c r="G143" s="174" t="s">
        <v>140</v>
      </c>
      <c r="H143" s="243">
        <v>10709796</v>
      </c>
      <c r="I143" s="243">
        <v>24929129</v>
      </c>
      <c r="J143" s="243">
        <v>12137711</v>
      </c>
      <c r="K143" s="243">
        <v>12791418</v>
      </c>
      <c r="L143" s="243">
        <v>-2081622</v>
      </c>
    </row>
    <row r="144" spans="1:12" x14ac:dyDescent="0.25">
      <c r="A144" s="194" t="s">
        <v>595</v>
      </c>
      <c r="B144" s="87" t="s">
        <v>140</v>
      </c>
      <c r="C144" s="87" t="s">
        <v>140</v>
      </c>
      <c r="D144" s="87" t="s">
        <v>140</v>
      </c>
      <c r="E144" s="244">
        <f>SUBTOTAL(109,totalfunded[Program
Costs])</f>
        <v>7005624917</v>
      </c>
      <c r="F144" s="244">
        <f>SUBTOTAL(109,totalfunded[Less: Net Payments and Offsets2])</f>
        <v>5789413735</v>
      </c>
      <c r="G144" s="87" t="s">
        <v>140</v>
      </c>
      <c r="H144" s="244">
        <f>SUBTOTAL(109,totalfunded[Accounts Payable
Balance])</f>
        <v>1216211182</v>
      </c>
      <c r="I144" s="244">
        <f>SUBTOTAL(109,totalfunded[Established
Accounts Receivable])</f>
        <v>284358989</v>
      </c>
      <c r="J144" s="244">
        <f>SUBTOTAL(109,totalfunded[Less: Recovered Amount])</f>
        <v>207458158</v>
      </c>
      <c r="K144" s="244">
        <f>SUBTOTAL(109,totalfunded[Accounts Receivable
Balance])</f>
        <v>76900831</v>
      </c>
      <c r="L144" s="244">
        <f>SUBTOTAL(109,totalfunded[Net
Balance])</f>
        <v>1139310351</v>
      </c>
    </row>
    <row r="145" spans="1:1" x14ac:dyDescent="0.25">
      <c r="A145" s="5" t="s">
        <v>578</v>
      </c>
    </row>
    <row r="146" spans="1:1" ht="18.75" x14ac:dyDescent="0.25">
      <c r="A146" s="231" t="s">
        <v>596</v>
      </c>
    </row>
  </sheetData>
  <hyperlinks>
    <hyperlink ref="F2" location="'Schedule B1-Colleges'!A145" display="Less: Net Payments and Offsets2"/>
  </hyperlinks>
  <printOptions horizontalCentered="1" gridLines="1"/>
  <pageMargins left="0.3" right="0.3" top="0.75" bottom="0.75" header="0.3" footer="0.3"/>
  <pageSetup scale="56" fitToHeight="0" orientation="landscape" r:id="rId1"/>
  <headerFooter>
    <oddFooter>&amp;LSchedule B1: Detail of Funded State-Mandated Programs by Fiscal Year 
Community College Districts&amp;RPage &amp;P of &amp;N</oddFooter>
  </headerFooter>
  <rowBreaks count="2" manualBreakCount="2">
    <brk id="32" max="11" man="1"/>
    <brk id="139" max="11" man="1"/>
  </rowBreaks>
  <legacyDrawing r:id="rId2"/>
  <tableParts count="1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Cover Page</vt:lpstr>
      <vt:lpstr>Table of Contents</vt:lpstr>
      <vt:lpstr>Schedule A-Summary </vt:lpstr>
      <vt:lpstr>Schedule A1-Local Agencies</vt:lpstr>
      <vt:lpstr>Schedule A1-Schools </vt:lpstr>
      <vt:lpstr>Schedule B-Summary</vt:lpstr>
      <vt:lpstr>Schedule B1-Local Agencies</vt:lpstr>
      <vt:lpstr>Schedule B1-Schools</vt:lpstr>
      <vt:lpstr>Schedule B1-Colleges</vt:lpstr>
      <vt:lpstr>Schedule B2-Local Agencies</vt:lpstr>
      <vt:lpstr>Schedule C-IRC</vt:lpstr>
      <vt:lpstr>'Schedule A1-Local Agencies'!Print_Area</vt:lpstr>
      <vt:lpstr>'Schedule A1-Schools '!Print_Area</vt:lpstr>
      <vt:lpstr>'Schedule A-Summary '!Print_Area</vt:lpstr>
      <vt:lpstr>'Schedule B1-Colleges'!Print_Area</vt:lpstr>
      <vt:lpstr>'Schedule B1-Local Agencies'!Print_Area</vt:lpstr>
      <vt:lpstr>'Schedule B1-Schools'!Print_Area</vt:lpstr>
      <vt:lpstr>'Schedule B2-Local Agencies'!Print_Area</vt:lpstr>
      <vt:lpstr>'Schedule B-Summary'!Print_Area</vt:lpstr>
      <vt:lpstr>'Schedule C-IRC'!Print_Area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Apgar, Lili</dc:creator>
  <cp:lastModifiedBy>Luc, Everett</cp:lastModifiedBy>
  <cp:lastPrinted>2022-10-29T00:44:00Z</cp:lastPrinted>
  <dcterms:created xsi:type="dcterms:W3CDTF">2021-09-07T20:25:09Z</dcterms:created>
  <dcterms:modified xsi:type="dcterms:W3CDTF">2023-10-30T23:39:53Z</dcterms:modified>
</cp:coreProperties>
</file>