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2.xml" ContentType="application/vnd.openxmlformats-officedocument.spreadsheetml.comment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omments3.xml" ContentType="application/vnd.openxmlformats-officedocument.spreadsheetml.comments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comments4.xml" ContentType="application/vnd.openxmlformats-officedocument.spreadsheetml.comments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comments5.xml" ContentType="application/vnd.openxmlformats-officedocument.spreadsheetml.comments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comments6.xml" ContentType="application/vnd.openxmlformats-officedocument.spreadsheetml.comments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Deficiency\Deficiency 2023\Final\ADA\"/>
    </mc:Choice>
  </mc:AlternateContent>
  <bookViews>
    <workbookView xWindow="0" yWindow="0" windowWidth="20490" windowHeight="6795"/>
  </bookViews>
  <sheets>
    <sheet name="Cover Page" sheetId="23" r:id="rId1"/>
    <sheet name="Table of Contents" sheetId="24" r:id="rId2"/>
    <sheet name="Schedule A-Summary" sheetId="22" r:id="rId3"/>
    <sheet name="Schedule A1-Local Agencies" sheetId="21" r:id="rId4"/>
    <sheet name="Schedule A1-School Districts" sheetId="20" r:id="rId5"/>
    <sheet name="Schedule B-Summary" sheetId="19" r:id="rId6"/>
    <sheet name="Schedule B1-Local Agencies" sheetId="15" r:id="rId7"/>
    <sheet name="Schedule B1-School Districts" sheetId="16" r:id="rId8"/>
    <sheet name="Schedule B1-Comm College Dist" sheetId="18" r:id="rId9"/>
    <sheet name="Schedule B2-Local Agencies" sheetId="17" r:id="rId10"/>
  </sheets>
  <externalReferences>
    <externalReference r:id="rId11"/>
  </externalReferences>
  <definedNames>
    <definedName name="_xlnm._FilterDatabase" localSheetId="3" hidden="1">'Schedule A1-Local Agencies'!#REF!</definedName>
    <definedName name="_xlnm._FilterDatabase" localSheetId="4" hidden="1">'Schedule A1-School Districts'!$B$3:$I$30</definedName>
    <definedName name="_xlnm._FilterDatabase" localSheetId="8" hidden="1">'Schedule B1-Comm College Dist'!$A$2:$L$118</definedName>
    <definedName name="_xlnm._FilterDatabase" localSheetId="6" hidden="1">'Schedule B1-Local Agencies'!$A$2:$L$344</definedName>
    <definedName name="_xlnm._FilterDatabase" localSheetId="7" hidden="1">'Schedule B1-School Districts'!$A$31:$L$949</definedName>
    <definedName name="_xlnm._FilterDatabase" localSheetId="9" hidden="1">'Schedule B2-Local Agencies'!$A$3:$K$225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 localSheetId="3">'[1]Analysis (2)'!#REF!</definedName>
    <definedName name="NO" localSheetId="4">'[1]Analysis (2)'!#REF!</definedName>
    <definedName name="NO" localSheetId="2">'[1]Analysis (2)'!#REF!</definedName>
    <definedName name="NO" localSheetId="8">'[1]Analysis (2)'!#REF!</definedName>
    <definedName name="NO" localSheetId="7">'[1]Analysis (2)'!#REF!</definedName>
    <definedName name="NO" localSheetId="9">'[1]Analysis (2)'!#REF!</definedName>
    <definedName name="NO" localSheetId="5">'[1]Analysis (2)'!#REF!</definedName>
    <definedName name="NO">'[1]Analysis (2)'!#REF!</definedName>
    <definedName name="_xlnm.Print_Area" localSheetId="0">'Cover Page'!$A$1:$A$26</definedName>
    <definedName name="_xlnm.Print_Area" localSheetId="3">'Schedule A1-Local Agencies'!$A$1:$I$50</definedName>
    <definedName name="_xlnm.Print_Area" localSheetId="4">'Schedule A1-School Districts'!$A$1:$I$33</definedName>
    <definedName name="_xlnm.Print_Area" localSheetId="8">'Schedule B1-Comm College Dist'!$A$1:$L$146</definedName>
    <definedName name="_xlnm.Print_Area" localSheetId="6">'Schedule B1-Local Agencies'!$A$1:$L$357</definedName>
    <definedName name="_xlnm.Print_Area" localSheetId="7">'Schedule B1-School Districts'!$A$1:$L$992</definedName>
    <definedName name="_xlnm.Print_Area" localSheetId="9">'Schedule B2-Local Agencies'!$A$1:$K$253</definedName>
    <definedName name="_xlnm.Print_Area" localSheetId="5">'Schedule B-Summary'!$A$1:$P$41</definedName>
    <definedName name="_xlnm.Print_Titles" localSheetId="8">'Schedule B1-Comm College Dist'!#REF!</definedName>
    <definedName name="_xlnm.Print_Titles" localSheetId="7">'Schedule B1-School Districts'!#REF!</definedName>
    <definedName name="_xlnm.Print_Titles" localSheetId="9">'Schedule B2-Local Agencies'!#REF!</definedName>
    <definedName name="_xlnm.Print_Titles" localSheetId="5">'Schedule B-Summary'!#REF!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17" l="1"/>
  <c r="J11" i="17"/>
  <c r="I11" i="17"/>
  <c r="H11" i="17"/>
  <c r="G11" i="17"/>
  <c r="F11" i="17"/>
  <c r="E11" i="17"/>
  <c r="E66" i="15"/>
  <c r="F66" i="15"/>
  <c r="H66" i="15"/>
  <c r="I66" i="15"/>
  <c r="J66" i="15"/>
  <c r="K66" i="15"/>
  <c r="L66" i="15"/>
  <c r="E123" i="15"/>
  <c r="F123" i="15"/>
  <c r="H123" i="15"/>
  <c r="I123" i="15"/>
  <c r="J123" i="15"/>
  <c r="K123" i="15"/>
  <c r="L123" i="15"/>
  <c r="E276" i="15"/>
  <c r="F276" i="15"/>
  <c r="H276" i="15"/>
  <c r="I276" i="15"/>
  <c r="J276" i="15"/>
  <c r="K276" i="15"/>
  <c r="L276" i="15"/>
  <c r="E46" i="15"/>
  <c r="F46" i="15"/>
  <c r="H46" i="15"/>
  <c r="I46" i="15"/>
  <c r="J46" i="15"/>
  <c r="K46" i="15"/>
  <c r="L46" i="15"/>
  <c r="L29" i="16"/>
  <c r="K29" i="16"/>
  <c r="J29" i="16"/>
  <c r="I29" i="16"/>
  <c r="H29" i="16"/>
  <c r="F29" i="16"/>
  <c r="E29" i="16"/>
  <c r="L355" i="15"/>
  <c r="K355" i="15"/>
  <c r="J355" i="15"/>
  <c r="I355" i="15"/>
  <c r="H355" i="15"/>
  <c r="F355" i="15"/>
  <c r="L307" i="15"/>
  <c r="K307" i="15"/>
  <c r="J307" i="15"/>
  <c r="I307" i="15"/>
  <c r="H307" i="15"/>
  <c r="F307" i="15"/>
  <c r="E307" i="15"/>
  <c r="O31" i="19"/>
  <c r="O30" i="19"/>
  <c r="M31" i="19"/>
  <c r="M30" i="19"/>
  <c r="L31" i="19"/>
  <c r="L30" i="19"/>
  <c r="J31" i="19"/>
  <c r="J30" i="19"/>
  <c r="H31" i="19"/>
  <c r="H30" i="19"/>
  <c r="F31" i="19"/>
  <c r="F30" i="19"/>
  <c r="E31" i="19"/>
  <c r="E30" i="19"/>
  <c r="O16" i="19"/>
  <c r="O15" i="19"/>
  <c r="M16" i="19"/>
  <c r="M15" i="19"/>
  <c r="L16" i="19"/>
  <c r="L15" i="19"/>
  <c r="J16" i="19"/>
  <c r="J15" i="19"/>
  <c r="H16" i="19"/>
  <c r="H15" i="19"/>
  <c r="F16" i="19"/>
  <c r="F15" i="19"/>
  <c r="E16" i="19"/>
  <c r="E15" i="19"/>
  <c r="I29" i="20"/>
  <c r="H29" i="20"/>
  <c r="G29" i="20"/>
  <c r="G30" i="20"/>
  <c r="I49" i="21"/>
  <c r="I48" i="21"/>
  <c r="I47" i="21"/>
  <c r="H49" i="21"/>
  <c r="H48" i="21"/>
  <c r="H47" i="21"/>
  <c r="G49" i="21"/>
  <c r="G48" i="21"/>
  <c r="G47" i="21"/>
  <c r="I26" i="21"/>
  <c r="I27" i="21"/>
  <c r="I16" i="21"/>
  <c r="I17" i="21"/>
  <c r="I18" i="21"/>
  <c r="I19" i="21"/>
  <c r="I20" i="21"/>
  <c r="I28" i="21"/>
  <c r="I29" i="21"/>
  <c r="I30" i="21"/>
  <c r="I31" i="21"/>
  <c r="M38" i="22"/>
  <c r="M37" i="22"/>
  <c r="M36" i="22"/>
  <c r="M35" i="22"/>
  <c r="M34" i="22"/>
  <c r="M33" i="22"/>
  <c r="L35" i="22"/>
  <c r="L37" i="22"/>
  <c r="L36" i="22"/>
  <c r="L34" i="22"/>
  <c r="L33" i="22"/>
  <c r="K38" i="22"/>
  <c r="K37" i="22"/>
  <c r="K36" i="22"/>
  <c r="K35" i="22"/>
  <c r="K34" i="22"/>
  <c r="K33" i="22"/>
  <c r="I37" i="22"/>
  <c r="I36" i="22"/>
  <c r="I35" i="22"/>
  <c r="I34" i="22"/>
  <c r="I33" i="22"/>
  <c r="G37" i="22"/>
  <c r="G36" i="22"/>
  <c r="G35" i="22"/>
  <c r="G34" i="22"/>
  <c r="G33" i="22"/>
  <c r="F37" i="22"/>
  <c r="F36" i="22"/>
  <c r="F35" i="22"/>
  <c r="F34" i="22"/>
  <c r="F33" i="22"/>
  <c r="M30" i="22"/>
  <c r="M27" i="22"/>
  <c r="M28" i="22"/>
  <c r="M29" i="22"/>
  <c r="K30" i="22"/>
  <c r="K24" i="22"/>
  <c r="M24" i="22"/>
  <c r="M21" i="22"/>
  <c r="M22" i="22"/>
  <c r="M23" i="22"/>
  <c r="M15" i="22"/>
  <c r="M16" i="22"/>
  <c r="M17" i="22"/>
  <c r="M18" i="22"/>
  <c r="L18" i="22"/>
  <c r="K18" i="22"/>
  <c r="K12" i="22"/>
  <c r="M12" i="22"/>
  <c r="M9" i="22"/>
  <c r="M10" i="22"/>
  <c r="M11" i="22"/>
  <c r="M3" i="22"/>
  <c r="K6" i="22"/>
  <c r="M6" i="22"/>
  <c r="M4" i="22"/>
  <c r="M5" i="22"/>
  <c r="E355" i="15" l="1"/>
  <c r="I38" i="22"/>
  <c r="G38" i="22"/>
  <c r="F38" i="22"/>
  <c r="L38" i="22"/>
  <c r="I30" i="22"/>
  <c r="G30" i="22"/>
  <c r="F30" i="22"/>
  <c r="L30" i="22"/>
  <c r="I24" i="22"/>
  <c r="G24" i="22"/>
  <c r="F24" i="22"/>
  <c r="L24" i="22"/>
  <c r="I18" i="22"/>
  <c r="G18" i="22"/>
  <c r="F18" i="22"/>
  <c r="F12" i="22"/>
  <c r="G12" i="22"/>
  <c r="I12" i="22"/>
  <c r="L12" i="22"/>
  <c r="I6" i="22" l="1"/>
  <c r="G6" i="22"/>
  <c r="F6" i="22"/>
  <c r="L6" i="22"/>
  <c r="G31" i="20" l="1"/>
  <c r="H50" i="21"/>
  <c r="G50" i="21"/>
  <c r="I50" i="21"/>
  <c r="H44" i="21"/>
  <c r="G44" i="21"/>
  <c r="H40" i="21"/>
  <c r="G40" i="21"/>
  <c r="H36" i="21"/>
  <c r="G36" i="21"/>
  <c r="I43" i="21"/>
  <c r="I44" i="21" s="1"/>
  <c r="I39" i="21"/>
  <c r="I40" i="21" s="1"/>
  <c r="I35" i="21"/>
  <c r="I34" i="21"/>
  <c r="I33" i="21"/>
  <c r="I32" i="21"/>
  <c r="I25" i="21"/>
  <c r="I24" i="21"/>
  <c r="I23" i="21"/>
  <c r="I22" i="21"/>
  <c r="I21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H26" i="20"/>
  <c r="H30" i="20" s="1"/>
  <c r="H31" i="20" s="1"/>
  <c r="G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3" i="20"/>
  <c r="J26" i="19"/>
  <c r="L26" i="19"/>
  <c r="M26" i="19"/>
  <c r="O26" i="19"/>
  <c r="H26" i="19"/>
  <c r="F26" i="19"/>
  <c r="E26" i="19"/>
  <c r="E22" i="19"/>
  <c r="F22" i="19"/>
  <c r="H22" i="19"/>
  <c r="J22" i="19"/>
  <c r="L22" i="19"/>
  <c r="M22" i="19"/>
  <c r="O22" i="19"/>
  <c r="O11" i="19"/>
  <c r="M11" i="19"/>
  <c r="L11" i="19"/>
  <c r="J11" i="19"/>
  <c r="H11" i="19"/>
  <c r="F11" i="19"/>
  <c r="E11" i="19"/>
  <c r="M5" i="19"/>
  <c r="M14" i="19" s="1"/>
  <c r="M29" i="19" s="1"/>
  <c r="M32" i="19" s="1"/>
  <c r="L5" i="19"/>
  <c r="L14" i="19" s="1"/>
  <c r="L29" i="19" s="1"/>
  <c r="L32" i="19" s="1"/>
  <c r="J5" i="19"/>
  <c r="J14" i="19" s="1"/>
  <c r="J29" i="19" s="1"/>
  <c r="J32" i="19" s="1"/>
  <c r="H5" i="19"/>
  <c r="H14" i="19" s="1"/>
  <c r="H17" i="19" s="1"/>
  <c r="F5" i="19"/>
  <c r="F14" i="19" s="1"/>
  <c r="F17" i="19" s="1"/>
  <c r="E5" i="19"/>
  <c r="E14" i="19" s="1"/>
  <c r="E17" i="19" s="1"/>
  <c r="O5" i="19"/>
  <c r="O14" i="19" s="1"/>
  <c r="J251" i="17"/>
  <c r="I251" i="17"/>
  <c r="H251" i="17"/>
  <c r="G251" i="17"/>
  <c r="F251" i="17"/>
  <c r="E251" i="17"/>
  <c r="K251" i="17"/>
  <c r="J247" i="17"/>
  <c r="I247" i="17"/>
  <c r="H247" i="17"/>
  <c r="G247" i="17"/>
  <c r="F247" i="17"/>
  <c r="E247" i="17"/>
  <c r="K247" i="17"/>
  <c r="J226" i="17"/>
  <c r="I226" i="17"/>
  <c r="H226" i="17"/>
  <c r="G226" i="17"/>
  <c r="F226" i="17"/>
  <c r="E226" i="17"/>
  <c r="K226" i="17"/>
  <c r="J212" i="17"/>
  <c r="I212" i="17"/>
  <c r="H212" i="17"/>
  <c r="G212" i="17"/>
  <c r="F212" i="17"/>
  <c r="E212" i="17"/>
  <c r="K212" i="17"/>
  <c r="J202" i="17"/>
  <c r="I202" i="17"/>
  <c r="H202" i="17"/>
  <c r="G202" i="17"/>
  <c r="F202" i="17"/>
  <c r="E202" i="17"/>
  <c r="K202" i="17"/>
  <c r="J196" i="17"/>
  <c r="I196" i="17"/>
  <c r="H196" i="17"/>
  <c r="G196" i="17"/>
  <c r="F196" i="17"/>
  <c r="E196" i="17"/>
  <c r="K196" i="17"/>
  <c r="J188" i="17"/>
  <c r="I188" i="17"/>
  <c r="H188" i="17"/>
  <c r="G188" i="17"/>
  <c r="F188" i="17"/>
  <c r="E188" i="17"/>
  <c r="K188" i="17"/>
  <c r="J174" i="17"/>
  <c r="I174" i="17"/>
  <c r="H174" i="17"/>
  <c r="G174" i="17"/>
  <c r="F174" i="17"/>
  <c r="E174" i="17"/>
  <c r="K174" i="17"/>
  <c r="J151" i="17"/>
  <c r="I151" i="17"/>
  <c r="H151" i="17"/>
  <c r="G151" i="17"/>
  <c r="F151" i="17"/>
  <c r="E151" i="17"/>
  <c r="K151" i="17"/>
  <c r="J141" i="17"/>
  <c r="I141" i="17"/>
  <c r="H141" i="17"/>
  <c r="G141" i="17"/>
  <c r="F141" i="17"/>
  <c r="E141" i="17"/>
  <c r="K141" i="17"/>
  <c r="J128" i="17"/>
  <c r="I128" i="17"/>
  <c r="H128" i="17"/>
  <c r="G128" i="17"/>
  <c r="F128" i="17"/>
  <c r="E128" i="17"/>
  <c r="K128" i="17"/>
  <c r="J104" i="17"/>
  <c r="I104" i="17"/>
  <c r="H104" i="17"/>
  <c r="G104" i="17"/>
  <c r="F104" i="17"/>
  <c r="E104" i="17"/>
  <c r="K104" i="17"/>
  <c r="J80" i="17"/>
  <c r="I80" i="17"/>
  <c r="H80" i="17"/>
  <c r="G80" i="17"/>
  <c r="F80" i="17"/>
  <c r="E80" i="17"/>
  <c r="J99" i="17"/>
  <c r="I99" i="17"/>
  <c r="H99" i="17"/>
  <c r="G99" i="17"/>
  <c r="F99" i="17"/>
  <c r="E99" i="17"/>
  <c r="K99" i="17"/>
  <c r="K80" i="17"/>
  <c r="J66" i="17"/>
  <c r="I66" i="17"/>
  <c r="H66" i="17"/>
  <c r="G66" i="17"/>
  <c r="F66" i="17"/>
  <c r="E66" i="17"/>
  <c r="K66" i="17"/>
  <c r="J53" i="17"/>
  <c r="I53" i="17"/>
  <c r="H53" i="17"/>
  <c r="G53" i="17"/>
  <c r="F53" i="17"/>
  <c r="E53" i="17"/>
  <c r="K53" i="17"/>
  <c r="J38" i="17"/>
  <c r="I38" i="17"/>
  <c r="H38" i="17"/>
  <c r="G38" i="17"/>
  <c r="F38" i="17"/>
  <c r="E38" i="17"/>
  <c r="K38" i="17"/>
  <c r="J25" i="17"/>
  <c r="I25" i="17"/>
  <c r="H25" i="17"/>
  <c r="G25" i="17"/>
  <c r="F25" i="17"/>
  <c r="E25" i="17"/>
  <c r="K25" i="17"/>
  <c r="J5" i="17"/>
  <c r="I5" i="17"/>
  <c r="H5" i="17"/>
  <c r="G5" i="17"/>
  <c r="F5" i="17"/>
  <c r="E5" i="17"/>
  <c r="K5" i="17"/>
  <c r="O29" i="19" l="1"/>
  <c r="O32" i="19" s="1"/>
  <c r="O17" i="19"/>
  <c r="E29" i="19"/>
  <c r="E32" i="19" s="1"/>
  <c r="J17" i="19"/>
  <c r="F29" i="19"/>
  <c r="F32" i="19" s="1"/>
  <c r="L17" i="19"/>
  <c r="H29" i="19"/>
  <c r="H32" i="19" s="1"/>
  <c r="M17" i="19"/>
  <c r="I36" i="21"/>
  <c r="I26" i="20"/>
  <c r="I30" i="20" s="1"/>
  <c r="I31" i="20" s="1"/>
  <c r="E31" i="18"/>
  <c r="K144" i="18"/>
  <c r="J144" i="18"/>
  <c r="I144" i="18"/>
  <c r="H144" i="18"/>
  <c r="F144" i="18"/>
  <c r="E144" i="18"/>
  <c r="L144" i="18"/>
  <c r="E408" i="16"/>
  <c r="F408" i="16"/>
  <c r="H408" i="16"/>
  <c r="I408" i="16"/>
  <c r="J408" i="16"/>
  <c r="K408" i="16"/>
  <c r="L408" i="16"/>
  <c r="K138" i="18"/>
  <c r="J138" i="18"/>
  <c r="I138" i="18"/>
  <c r="H138" i="18"/>
  <c r="F138" i="18"/>
  <c r="E138" i="18"/>
  <c r="L138" i="18"/>
  <c r="K119" i="18"/>
  <c r="J119" i="18"/>
  <c r="I119" i="18"/>
  <c r="H119" i="18"/>
  <c r="F119" i="18"/>
  <c r="E119" i="18"/>
  <c r="L119" i="18"/>
  <c r="K115" i="18"/>
  <c r="J115" i="18"/>
  <c r="I115" i="18"/>
  <c r="H115" i="18"/>
  <c r="F115" i="18"/>
  <c r="E115" i="18"/>
  <c r="L115" i="18"/>
  <c r="K111" i="18"/>
  <c r="J111" i="18"/>
  <c r="I111" i="18"/>
  <c r="H111" i="18"/>
  <c r="F111" i="18"/>
  <c r="E111" i="18"/>
  <c r="L111" i="18"/>
  <c r="K107" i="18"/>
  <c r="J107" i="18"/>
  <c r="I107" i="18"/>
  <c r="H107" i="18"/>
  <c r="F107" i="18"/>
  <c r="E107" i="18"/>
  <c r="L107" i="18"/>
  <c r="K101" i="18"/>
  <c r="J101" i="18"/>
  <c r="I101" i="18"/>
  <c r="H101" i="18"/>
  <c r="F101" i="18"/>
  <c r="E101" i="18"/>
  <c r="L101" i="18"/>
  <c r="K95" i="18"/>
  <c r="J95" i="18"/>
  <c r="I95" i="18"/>
  <c r="H95" i="18"/>
  <c r="F95" i="18"/>
  <c r="E95" i="18"/>
  <c r="L95" i="18"/>
  <c r="K91" i="18"/>
  <c r="J91" i="18"/>
  <c r="I91" i="18"/>
  <c r="H91" i="18"/>
  <c r="F91" i="18"/>
  <c r="E91" i="18"/>
  <c r="L91" i="18"/>
  <c r="E85" i="18"/>
  <c r="F85" i="18"/>
  <c r="H85" i="18"/>
  <c r="I85" i="18"/>
  <c r="J85" i="18"/>
  <c r="K85" i="18"/>
  <c r="L85" i="18"/>
  <c r="K74" i="18"/>
  <c r="J74" i="18"/>
  <c r="I74" i="18"/>
  <c r="H74" i="18"/>
  <c r="F74" i="18"/>
  <c r="E74" i="18"/>
  <c r="L74" i="18"/>
  <c r="K61" i="18"/>
  <c r="J61" i="18"/>
  <c r="I61" i="18"/>
  <c r="H61" i="18"/>
  <c r="F61" i="18"/>
  <c r="E61" i="18"/>
  <c r="L61" i="18"/>
  <c r="K50" i="18"/>
  <c r="J50" i="18"/>
  <c r="I50" i="18"/>
  <c r="H50" i="18"/>
  <c r="F50" i="18"/>
  <c r="E50" i="18"/>
  <c r="L50" i="18"/>
  <c r="K40" i="18"/>
  <c r="J40" i="18"/>
  <c r="I40" i="18"/>
  <c r="H40" i="18"/>
  <c r="F40" i="18"/>
  <c r="E40" i="18"/>
  <c r="L40" i="18"/>
  <c r="K31" i="18"/>
  <c r="J31" i="18"/>
  <c r="I31" i="18"/>
  <c r="H31" i="18"/>
  <c r="F31" i="18"/>
  <c r="L31" i="18"/>
  <c r="K20" i="18"/>
  <c r="J20" i="18"/>
  <c r="I20" i="18"/>
  <c r="H20" i="18"/>
  <c r="F20" i="18"/>
  <c r="E20" i="18"/>
  <c r="L20" i="18"/>
  <c r="J12" i="18"/>
  <c r="K12" i="18"/>
  <c r="I12" i="18"/>
  <c r="H12" i="18"/>
  <c r="F12" i="18"/>
  <c r="E12" i="18"/>
  <c r="L12" i="18"/>
  <c r="K6" i="18"/>
  <c r="J6" i="18"/>
  <c r="I6" i="18"/>
  <c r="H6" i="18"/>
  <c r="F6" i="18"/>
  <c r="E6" i="18"/>
  <c r="L6" i="18"/>
  <c r="F871" i="16" l="1"/>
  <c r="F990" i="16"/>
  <c r="K990" i="16"/>
  <c r="J990" i="16"/>
  <c r="I990" i="16"/>
  <c r="H990" i="16"/>
  <c r="E990" i="16"/>
  <c r="L990" i="16"/>
  <c r="K950" i="16"/>
  <c r="J950" i="16"/>
  <c r="I950" i="16"/>
  <c r="H950" i="16"/>
  <c r="F950" i="16"/>
  <c r="E950" i="16"/>
  <c r="L950" i="16"/>
  <c r="K946" i="16"/>
  <c r="J946" i="16"/>
  <c r="I946" i="16"/>
  <c r="H946" i="16"/>
  <c r="F946" i="16"/>
  <c r="E946" i="16"/>
  <c r="L946" i="16"/>
  <c r="K942" i="16"/>
  <c r="J942" i="16"/>
  <c r="I942" i="16"/>
  <c r="H942" i="16"/>
  <c r="F942" i="16"/>
  <c r="E942" i="16"/>
  <c r="L942" i="16"/>
  <c r="K938" i="16"/>
  <c r="J938" i="16"/>
  <c r="I938" i="16"/>
  <c r="H938" i="16"/>
  <c r="F938" i="16"/>
  <c r="E938" i="16"/>
  <c r="L938" i="16"/>
  <c r="K934" i="16"/>
  <c r="J934" i="16"/>
  <c r="I934" i="16"/>
  <c r="H934" i="16"/>
  <c r="F934" i="16"/>
  <c r="E934" i="16"/>
  <c r="L934" i="16"/>
  <c r="K929" i="16"/>
  <c r="J929" i="16"/>
  <c r="I929" i="16"/>
  <c r="H929" i="16"/>
  <c r="F929" i="16"/>
  <c r="E929" i="16"/>
  <c r="L929" i="16"/>
  <c r="K924" i="16"/>
  <c r="J924" i="16"/>
  <c r="I924" i="16"/>
  <c r="H924" i="16"/>
  <c r="F924" i="16"/>
  <c r="E924" i="16"/>
  <c r="L924" i="16"/>
  <c r="K919" i="16"/>
  <c r="J919" i="16"/>
  <c r="I919" i="16"/>
  <c r="H919" i="16"/>
  <c r="F919" i="16"/>
  <c r="E919" i="16"/>
  <c r="L919" i="16"/>
  <c r="K913" i="16"/>
  <c r="J913" i="16"/>
  <c r="I913" i="16"/>
  <c r="H913" i="16"/>
  <c r="F913" i="16"/>
  <c r="E913" i="16"/>
  <c r="L913" i="16"/>
  <c r="K906" i="16"/>
  <c r="J906" i="16"/>
  <c r="I906" i="16"/>
  <c r="H906" i="16"/>
  <c r="F906" i="16"/>
  <c r="E906" i="16"/>
  <c r="L906" i="16"/>
  <c r="K899" i="16"/>
  <c r="J899" i="16"/>
  <c r="I899" i="16"/>
  <c r="H899" i="16"/>
  <c r="F899" i="16"/>
  <c r="E899" i="16"/>
  <c r="L899" i="16"/>
  <c r="K888" i="16"/>
  <c r="J888" i="16"/>
  <c r="I888" i="16"/>
  <c r="H888" i="16"/>
  <c r="F888" i="16"/>
  <c r="E888" i="16"/>
  <c r="L888" i="16"/>
  <c r="K880" i="16"/>
  <c r="J880" i="16"/>
  <c r="I880" i="16"/>
  <c r="H880" i="16"/>
  <c r="F880" i="16"/>
  <c r="E880" i="16"/>
  <c r="L880" i="16"/>
  <c r="K871" i="16"/>
  <c r="J871" i="16"/>
  <c r="I871" i="16"/>
  <c r="H871" i="16"/>
  <c r="E871" i="16"/>
  <c r="L871" i="16"/>
  <c r="K862" i="16"/>
  <c r="J862" i="16"/>
  <c r="I862" i="16"/>
  <c r="H862" i="16"/>
  <c r="F862" i="16"/>
  <c r="E862" i="16"/>
  <c r="L862" i="16"/>
  <c r="K848" i="16"/>
  <c r="J848" i="16"/>
  <c r="I848" i="16"/>
  <c r="H848" i="16"/>
  <c r="F848" i="16"/>
  <c r="E848" i="16"/>
  <c r="L848" i="16"/>
  <c r="K824" i="16"/>
  <c r="J824" i="16"/>
  <c r="I824" i="16"/>
  <c r="H824" i="16"/>
  <c r="F824" i="16"/>
  <c r="E824" i="16"/>
  <c r="L824" i="16"/>
  <c r="K790" i="16"/>
  <c r="J790" i="16"/>
  <c r="I790" i="16"/>
  <c r="H790" i="16"/>
  <c r="F790" i="16"/>
  <c r="E790" i="16"/>
  <c r="L790" i="16"/>
  <c r="K773" i="16"/>
  <c r="J773" i="16"/>
  <c r="I773" i="16"/>
  <c r="H773" i="16"/>
  <c r="F773" i="16"/>
  <c r="E773" i="16"/>
  <c r="L773" i="16"/>
  <c r="K754" i="16"/>
  <c r="J754" i="16"/>
  <c r="I754" i="16"/>
  <c r="H754" i="16"/>
  <c r="F754" i="16"/>
  <c r="E754" i="16"/>
  <c r="L754" i="16"/>
  <c r="K711" i="16"/>
  <c r="J711" i="16"/>
  <c r="I711" i="16"/>
  <c r="H711" i="16"/>
  <c r="F711" i="16"/>
  <c r="E711" i="16"/>
  <c r="L711" i="16"/>
  <c r="K662" i="16"/>
  <c r="J662" i="16"/>
  <c r="I662" i="16"/>
  <c r="H662" i="16"/>
  <c r="F662" i="16"/>
  <c r="E662" i="16"/>
  <c r="L662" i="16"/>
  <c r="K609" i="16"/>
  <c r="J609" i="16"/>
  <c r="I609" i="16"/>
  <c r="H609" i="16"/>
  <c r="F609" i="16"/>
  <c r="E609" i="16"/>
  <c r="L609" i="16"/>
  <c r="K557" i="16"/>
  <c r="J557" i="16"/>
  <c r="I557" i="16"/>
  <c r="H557" i="16"/>
  <c r="F557" i="16"/>
  <c r="E557" i="16"/>
  <c r="L557" i="16"/>
  <c r="K507" i="16"/>
  <c r="J507" i="16"/>
  <c r="I507" i="16"/>
  <c r="H507" i="16"/>
  <c r="F507" i="16"/>
  <c r="E507" i="16"/>
  <c r="L507" i="16"/>
  <c r="K460" i="16"/>
  <c r="J460" i="16"/>
  <c r="I460" i="16"/>
  <c r="H460" i="16"/>
  <c r="F460" i="16"/>
  <c r="E460" i="16"/>
  <c r="L460" i="16"/>
  <c r="K361" i="16"/>
  <c r="J361" i="16"/>
  <c r="I361" i="16"/>
  <c r="H361" i="16"/>
  <c r="F361" i="16"/>
  <c r="E361" i="16"/>
  <c r="L361" i="16"/>
  <c r="K314" i="16"/>
  <c r="J314" i="16"/>
  <c r="I314" i="16"/>
  <c r="H314" i="16"/>
  <c r="F314" i="16"/>
  <c r="E314" i="16"/>
  <c r="L314" i="16"/>
  <c r="K269" i="16"/>
  <c r="J269" i="16"/>
  <c r="I269" i="16"/>
  <c r="H269" i="16"/>
  <c r="F269" i="16"/>
  <c r="E269" i="16"/>
  <c r="L269" i="16"/>
  <c r="K226" i="16"/>
  <c r="J226" i="16"/>
  <c r="I226" i="16"/>
  <c r="H226" i="16"/>
  <c r="F226" i="16"/>
  <c r="E226" i="16"/>
  <c r="L226" i="16"/>
  <c r="K190" i="16"/>
  <c r="J190" i="16"/>
  <c r="I190" i="16"/>
  <c r="H190" i="16"/>
  <c r="F190" i="16"/>
  <c r="E190" i="16"/>
  <c r="L190" i="16"/>
  <c r="K155" i="16"/>
  <c r="J155" i="16"/>
  <c r="I155" i="16"/>
  <c r="H155" i="16"/>
  <c r="F155" i="16"/>
  <c r="E155" i="16"/>
  <c r="L155" i="16"/>
  <c r="K119" i="16"/>
  <c r="J119" i="16"/>
  <c r="I119" i="16"/>
  <c r="H119" i="16"/>
  <c r="F119" i="16"/>
  <c r="E119" i="16"/>
  <c r="L119" i="16"/>
  <c r="K84" i="16"/>
  <c r="J84" i="16"/>
  <c r="I84" i="16"/>
  <c r="H84" i="16"/>
  <c r="F84" i="16"/>
  <c r="E84" i="16"/>
  <c r="L84" i="16"/>
  <c r="K55" i="16"/>
  <c r="J55" i="16"/>
  <c r="I55" i="16"/>
  <c r="H55" i="16"/>
  <c r="F55" i="16"/>
  <c r="E55" i="16"/>
  <c r="L55" i="16" l="1"/>
  <c r="E26" i="15" l="1"/>
  <c r="F26" i="15"/>
  <c r="H26" i="15"/>
  <c r="I26" i="15"/>
  <c r="J26" i="15"/>
  <c r="K26" i="15"/>
  <c r="L26" i="15"/>
  <c r="E83" i="15"/>
  <c r="F83" i="15"/>
  <c r="H83" i="15"/>
  <c r="I83" i="15"/>
  <c r="J83" i="15"/>
  <c r="K83" i="15"/>
  <c r="L83" i="15"/>
  <c r="E92" i="15"/>
  <c r="F92" i="15"/>
  <c r="H92" i="15"/>
  <c r="I92" i="15"/>
  <c r="J92" i="15"/>
  <c r="K92" i="15"/>
  <c r="L92" i="15"/>
  <c r="E99" i="15"/>
  <c r="F99" i="15"/>
  <c r="H99" i="15"/>
  <c r="I99" i="15"/>
  <c r="J99" i="15"/>
  <c r="K99" i="15"/>
  <c r="L99" i="15"/>
  <c r="E104" i="15"/>
  <c r="F104" i="15"/>
  <c r="H104" i="15"/>
  <c r="I104" i="15"/>
  <c r="J104" i="15"/>
  <c r="K104" i="15"/>
  <c r="L104" i="15"/>
  <c r="E108" i="15"/>
  <c r="F108" i="15"/>
  <c r="H108" i="15"/>
  <c r="I108" i="15"/>
  <c r="J108" i="15"/>
  <c r="K108" i="15"/>
  <c r="L108" i="15"/>
  <c r="E113" i="15"/>
  <c r="F113" i="15"/>
  <c r="H113" i="15"/>
  <c r="I113" i="15"/>
  <c r="J113" i="15"/>
  <c r="K113" i="15"/>
  <c r="L113" i="15"/>
  <c r="E117" i="15"/>
  <c r="F117" i="15"/>
  <c r="H117" i="15"/>
  <c r="I117" i="15"/>
  <c r="J117" i="15"/>
  <c r="K117" i="15"/>
  <c r="L117" i="15"/>
  <c r="E135" i="15"/>
  <c r="F135" i="15"/>
  <c r="H135" i="15"/>
  <c r="I135" i="15"/>
  <c r="J135" i="15"/>
  <c r="K135" i="15"/>
  <c r="L135" i="15"/>
  <c r="E164" i="15"/>
  <c r="F164" i="15"/>
  <c r="H164" i="15"/>
  <c r="I164" i="15"/>
  <c r="J164" i="15"/>
  <c r="K164" i="15"/>
  <c r="L164" i="15"/>
  <c r="E191" i="15"/>
  <c r="F191" i="15"/>
  <c r="H191" i="15"/>
  <c r="I191" i="15"/>
  <c r="J191" i="15"/>
  <c r="K191" i="15"/>
  <c r="L191" i="15"/>
  <c r="E221" i="15"/>
  <c r="F221" i="15"/>
  <c r="H221" i="15"/>
  <c r="I221" i="15"/>
  <c r="J221" i="15"/>
  <c r="K221" i="15"/>
  <c r="L221" i="15"/>
  <c r="E236" i="15"/>
  <c r="F236" i="15"/>
  <c r="H236" i="15"/>
  <c r="I236" i="15"/>
  <c r="J236" i="15"/>
  <c r="K236" i="15"/>
  <c r="L236" i="15"/>
  <c r="E247" i="15"/>
  <c r="F247" i="15"/>
  <c r="H247" i="15"/>
  <c r="I247" i="15"/>
  <c r="J247" i="15"/>
  <c r="K247" i="15"/>
  <c r="L247" i="15"/>
  <c r="E257" i="15"/>
  <c r="F257" i="15"/>
  <c r="H257" i="15"/>
  <c r="I257" i="15"/>
  <c r="J257" i="15"/>
  <c r="K257" i="15"/>
  <c r="L257" i="15"/>
  <c r="E263" i="15"/>
  <c r="F263" i="15"/>
  <c r="H263" i="15"/>
  <c r="I263" i="15"/>
  <c r="J263" i="15"/>
  <c r="K263" i="15"/>
  <c r="L263" i="15"/>
  <c r="E269" i="15"/>
  <c r="F269" i="15"/>
  <c r="H269" i="15"/>
  <c r="I269" i="15"/>
  <c r="J269" i="15"/>
  <c r="K269" i="15"/>
  <c r="L269" i="15"/>
  <c r="E280" i="15"/>
  <c r="F280" i="15"/>
  <c r="H280" i="15"/>
  <c r="I280" i="15"/>
  <c r="J280" i="15"/>
  <c r="K280" i="15"/>
  <c r="L280" i="15"/>
  <c r="E287" i="15"/>
  <c r="F287" i="15"/>
  <c r="H287" i="15"/>
  <c r="I287" i="15"/>
  <c r="J287" i="15"/>
  <c r="K287" i="15"/>
  <c r="L287" i="15"/>
  <c r="E293" i="15"/>
  <c r="F293" i="15"/>
  <c r="H293" i="15"/>
  <c r="I293" i="15"/>
  <c r="J293" i="15"/>
  <c r="K293" i="15"/>
  <c r="L293" i="15"/>
  <c r="E298" i="15"/>
  <c r="F298" i="15"/>
  <c r="H298" i="15"/>
  <c r="I298" i="15"/>
  <c r="J298" i="15"/>
  <c r="K298" i="15"/>
  <c r="L298" i="15"/>
  <c r="E302" i="15"/>
  <c r="F302" i="15"/>
  <c r="H302" i="15"/>
  <c r="I302" i="15"/>
  <c r="J302" i="15"/>
  <c r="K302" i="15"/>
  <c r="L302" i="15"/>
  <c r="E311" i="15"/>
  <c r="F311" i="15"/>
  <c r="H311" i="15"/>
  <c r="I311" i="15"/>
  <c r="J311" i="15"/>
  <c r="K311" i="15"/>
  <c r="L311" i="15"/>
  <c r="E316" i="15"/>
  <c r="F316" i="15"/>
  <c r="H316" i="15"/>
  <c r="I316" i="15"/>
  <c r="J316" i="15"/>
  <c r="K316" i="15"/>
  <c r="L316" i="15"/>
  <c r="E322" i="15"/>
  <c r="F322" i="15"/>
  <c r="H322" i="15"/>
  <c r="I322" i="15"/>
  <c r="J322" i="15"/>
  <c r="K322" i="15"/>
  <c r="L322" i="15"/>
</calcChain>
</file>

<file path=xl/comments1.xml><?xml version="1.0" encoding="utf-8"?>
<comments xmlns="http://schemas.openxmlformats.org/spreadsheetml/2006/main">
  <authors>
    <author>Joseph, Angelo</author>
    <author>Pangilinan, Kirsten</author>
  </authors>
  <commentList>
    <comment ref="G2" authorId="0" shapeId="0">
      <text>
        <r>
          <rPr>
            <sz val="12"/>
            <color indexed="81"/>
            <rFont val="Verdana"/>
            <family val="2"/>
          </rPr>
          <t>Footnote 1</t>
        </r>
      </text>
    </comment>
    <comment ref="I29" authorId="1" shapeId="0">
      <text>
        <r>
          <rPr>
            <sz val="12"/>
            <color indexed="81"/>
            <rFont val="Verdana"/>
            <family val="2"/>
          </rPr>
          <t xml:space="preserve">Footnote 2
</t>
        </r>
      </text>
    </comment>
  </commentList>
</comments>
</file>

<file path=xl/comments2.xml><?xml version="1.0" encoding="utf-8"?>
<comments xmlns="http://schemas.openxmlformats.org/spreadsheetml/2006/main">
  <authors>
    <author>Joseph, Angelo</author>
  </authors>
  <commentList>
    <comment ref="A31" authorId="0" shapeId="0">
      <text>
        <r>
          <rPr>
            <sz val="12"/>
            <color indexed="81"/>
            <rFont val="Verdana"/>
            <family val="2"/>
          </rPr>
          <t>Footnote 3</t>
        </r>
      </text>
    </comment>
  </commentList>
</comments>
</file>

<file path=xl/comments3.xml><?xml version="1.0" encoding="utf-8"?>
<comments xmlns="http://schemas.openxmlformats.org/spreadsheetml/2006/main">
  <authors>
    <author>Luc, Everett</author>
    <author>Pangilinan, Kirsten</author>
    <author>Joseph, Angelo</author>
    <author>Waty, Linda</author>
  </authors>
  <commentList>
    <comment ref="H2" authorId="0" shapeId="0">
      <text>
        <r>
          <rPr>
            <sz val="12"/>
            <color indexed="81"/>
            <rFont val="Verdana"/>
            <family val="2"/>
          </rPr>
          <t>Footnote 3</t>
        </r>
      </text>
    </comment>
    <comment ref="J2" authorId="0" shapeId="0">
      <text>
        <r>
          <rPr>
            <sz val="12"/>
            <color indexed="81"/>
            <rFont val="Verdana"/>
            <family val="2"/>
          </rPr>
          <t>Footnote 4</t>
        </r>
      </text>
    </comment>
    <comment ref="M2" authorId="0" shapeId="0">
      <text>
        <r>
          <rPr>
            <sz val="12"/>
            <color indexed="81"/>
            <rFont val="Verdana"/>
            <family val="2"/>
          </rPr>
          <t>Footnote 5</t>
        </r>
      </text>
    </comment>
    <comment ref="O2" authorId="0" shapeId="0">
      <text>
        <r>
          <rPr>
            <sz val="12"/>
            <color indexed="81"/>
            <rFont val="Verdana"/>
            <family val="2"/>
          </rPr>
          <t>Footnote 6</t>
        </r>
      </text>
    </comment>
    <comment ref="F4" authorId="1" shapeId="0">
      <text>
        <r>
          <rPr>
            <sz val="12"/>
            <color indexed="81"/>
            <rFont val="Verdana"/>
            <family val="2"/>
          </rPr>
          <t>Footnote 1</t>
        </r>
      </text>
    </comment>
    <comment ref="F9" authorId="2" shapeId="0">
      <text>
        <r>
          <rPr>
            <sz val="12"/>
            <color indexed="81"/>
            <rFont val="Verdana"/>
            <family val="2"/>
          </rPr>
          <t>Footnote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2" shapeId="0">
      <text>
        <r>
          <rPr>
            <sz val="12"/>
            <color indexed="81"/>
            <rFont val="Verdana"/>
            <family val="2"/>
          </rPr>
          <t>Footnote 7</t>
        </r>
      </text>
    </comment>
    <comment ref="A26" authorId="3" shapeId="0">
      <text>
        <r>
          <rPr>
            <sz val="12"/>
            <color indexed="81"/>
            <rFont val="Verdana"/>
            <family val="2"/>
          </rPr>
          <t>Footnote 7, 8</t>
        </r>
      </text>
    </comment>
  </commentList>
</comments>
</file>

<file path=xl/comments4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12"/>
            <color indexed="81"/>
            <rFont val="Verdana"/>
            <family val="2"/>
          </rPr>
          <t>Footnote 1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12"/>
            <color indexed="81"/>
            <rFont val="Verdana"/>
            <family val="2"/>
          </rPr>
          <t>Footnote 2</t>
        </r>
      </text>
    </comment>
  </commentList>
</comments>
</file>

<file path=xl/comments6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12"/>
            <color indexed="81"/>
            <rFont val="Verdana"/>
            <family val="2"/>
          </rPr>
          <t>Footnote 2</t>
        </r>
      </text>
    </comment>
  </commentList>
</comments>
</file>

<file path=xl/comments7.xml><?xml version="1.0" encoding="utf-8"?>
<comments xmlns="http://schemas.openxmlformats.org/spreadsheetml/2006/main">
  <authors>
    <author>Joseph, Angelo</author>
  </authors>
  <commentList>
    <comment ref="A251" authorId="0" shapeId="0">
      <text>
        <r>
          <rPr>
            <sz val="12"/>
            <color indexed="81"/>
            <rFont val="Verdana"/>
            <family val="2"/>
          </rPr>
          <t>Footnote 8</t>
        </r>
      </text>
    </comment>
  </commentList>
</comments>
</file>

<file path=xl/sharedStrings.xml><?xml version="1.0" encoding="utf-8"?>
<sst xmlns="http://schemas.openxmlformats.org/spreadsheetml/2006/main" count="8502" uniqueCount="607">
  <si>
    <t>Program
Category</t>
  </si>
  <si>
    <t>Fiscal
Year</t>
  </si>
  <si>
    <t>Schedules</t>
  </si>
  <si>
    <t>Program
Costs</t>
  </si>
  <si>
    <t>Less: Recovered
Amount</t>
  </si>
  <si>
    <t>General Government</t>
  </si>
  <si>
    <t>Local Agencies</t>
  </si>
  <si>
    <t>Total Local Agencies</t>
  </si>
  <si>
    <t>Education</t>
  </si>
  <si>
    <t>School Districts</t>
  </si>
  <si>
    <t>Community College Districts</t>
  </si>
  <si>
    <t>2014-15 and Prior</t>
  </si>
  <si>
    <t>Total School Districts and Community College Districts</t>
  </si>
  <si>
    <t>2009-10</t>
  </si>
  <si>
    <t>Grand Total Local Agencies, School Districts, and Community College Districts</t>
  </si>
  <si>
    <t>Program
Name</t>
  </si>
  <si>
    <t>Legal
Reference
(Ch./Year)</t>
  </si>
  <si>
    <t>Net
Balance</t>
  </si>
  <si>
    <t>2019-20</t>
  </si>
  <si>
    <t>Administrative License Suspension</t>
  </si>
  <si>
    <t>Ch. 1460/89</t>
  </si>
  <si>
    <t>Allocation of Property Tax Revenues</t>
  </si>
  <si>
    <t>Ch. 697/92</t>
  </si>
  <si>
    <t>Countywide Tax Rates</t>
  </si>
  <si>
    <t>Ch. 921/87</t>
  </si>
  <si>
    <t>Crime Victims' Domestic Violence Incident Reports</t>
  </si>
  <si>
    <t>Ch. 1022/99</t>
  </si>
  <si>
    <t>Custody of Minors – Child Abduction and Recovery</t>
  </si>
  <si>
    <t>Ch. 1399/76</t>
  </si>
  <si>
    <t>Domestic Violence Arrest Policies and Standards</t>
  </si>
  <si>
    <t>Ch. 246/95</t>
  </si>
  <si>
    <t>Domestic Violence Arrests and Victim Assistance</t>
  </si>
  <si>
    <t>Ch. 698/98</t>
  </si>
  <si>
    <t>Domestic Violence Treatment Services – Authorization and Case Management</t>
  </si>
  <si>
    <t>Ch. 183/92</t>
  </si>
  <si>
    <t>Health Benefits for Survivors of Peace Officers and Firefighters</t>
  </si>
  <si>
    <t>Ch. 1120/96</t>
  </si>
  <si>
    <t>Local Agency Employee Organizations: Impasse Procedures II</t>
  </si>
  <si>
    <t>Ch. 314/12</t>
  </si>
  <si>
    <t>Local Agency Ethics</t>
  </si>
  <si>
    <t>Ch. 700/05</t>
  </si>
  <si>
    <t>Medi-Cal Beneficiary Probate</t>
  </si>
  <si>
    <t>Ch. 102/81</t>
  </si>
  <si>
    <t>Medi-Cal Eligibility of Juvenile Offenders</t>
  </si>
  <si>
    <t>Ch. 657/06</t>
  </si>
  <si>
    <t>Peace Officers Personnel Records: Unfounded Complaints and Discovery</t>
  </si>
  <si>
    <t>Ch. 630/78</t>
  </si>
  <si>
    <t>Peace Officers Procedural Bill of Rights</t>
  </si>
  <si>
    <t>Ch. 465/76</t>
  </si>
  <si>
    <t>Pesticide Use Reports</t>
  </si>
  <si>
    <t>Ch. 1200/89</t>
  </si>
  <si>
    <t>Rape Victims Counseling Center Notice</t>
  </si>
  <si>
    <t>Ch. 999/91</t>
  </si>
  <si>
    <t>Sexually Violent Predators</t>
  </si>
  <si>
    <t>Ch. 762/95</t>
  </si>
  <si>
    <t>State Authorized Risk Assessment Tool for Sex Offenders</t>
  </si>
  <si>
    <t>Ch. 336/06</t>
  </si>
  <si>
    <t>Threats Against Peace Officers</t>
  </si>
  <si>
    <t>Ch. 1249/92</t>
  </si>
  <si>
    <t>Tuberculosis Control</t>
  </si>
  <si>
    <t>Ch. 676/93</t>
  </si>
  <si>
    <t>U Visa 918 Form, Victims of Crime: Nonimmigrant Status</t>
  </si>
  <si>
    <t>Ch. 721/15</t>
  </si>
  <si>
    <t>2018-19</t>
  </si>
  <si>
    <t>2017-18</t>
  </si>
  <si>
    <t>2016-17</t>
  </si>
  <si>
    <t>2015-16</t>
  </si>
  <si>
    <t>2014-15</t>
  </si>
  <si>
    <t>2013-14</t>
  </si>
  <si>
    <t>2012-13</t>
  </si>
  <si>
    <t>2011-12</t>
  </si>
  <si>
    <t>Open Meetings Act/Brown Act Reform</t>
  </si>
  <si>
    <t>Ch. 641/86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</si>
  <si>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</si>
  <si>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</si>
  <si>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</si>
  <si>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</si>
  <si>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</si>
  <si>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</si>
  <si>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</si>
  <si>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</si>
  <si>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</si>
  <si>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</si>
  <si>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</si>
  <si>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</si>
  <si>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</si>
  <si>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</si>
  <si>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</si>
  <si>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</si>
  <si>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</si>
  <si>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</si>
  <si>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</si>
  <si>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</si>
  <si>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</si>
  <si>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</si>
  <si>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</si>
  <si>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</si>
  <si>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</si>
  <si>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</si>
  <si>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</si>
  <si>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</si>
  <si>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</si>
  <si>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</si>
  <si>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</si>
  <si>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</si>
  <si>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</si>
  <si>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</si>
  <si>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</si>
  <si>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</si>
  <si>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</si>
  <si>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</si>
  <si>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</si>
  <si>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</si>
  <si>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</si>
  <si>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</si>
  <si>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</si>
  <si>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</si>
  <si>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</si>
  <si>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</si>
  <si>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</si>
  <si>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</si>
  <si>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</si>
  <si>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</si>
  <si>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</si>
  <si>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</si>
  <si>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</si>
  <si>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</si>
  <si>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</si>
  <si>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</si>
  <si>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</si>
  <si>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</si>
  <si>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2007-08</t>
  </si>
  <si>
    <t>Firefighters' Cancer Presumption</t>
  </si>
  <si>
    <t>Ch. 1568/82</t>
  </si>
  <si>
    <t>Peace Officers Cancer Presumption</t>
  </si>
  <si>
    <t>Ch. 1171/89</t>
  </si>
  <si>
    <t>2006-07</t>
  </si>
  <si>
    <t>2005-06</t>
  </si>
  <si>
    <t>2004-05</t>
  </si>
  <si>
    <t>2003-04</t>
  </si>
  <si>
    <t>2002-03</t>
  </si>
  <si>
    <t>2001-02</t>
  </si>
  <si>
    <t>Investment Reports</t>
  </si>
  <si>
    <t>Ch. 783/95</t>
  </si>
  <si>
    <t>2000-01</t>
  </si>
  <si>
    <t>1999-00</t>
  </si>
  <si>
    <t>SIDS Training for Firefighters</t>
  </si>
  <si>
    <t>Ch. 1111/89</t>
  </si>
  <si>
    <t>1998-99</t>
  </si>
  <si>
    <t>Open Meetings Act</t>
  </si>
  <si>
    <t>Regional Housing Need Determination</t>
  </si>
  <si>
    <t>Ch. 1143/80</t>
  </si>
  <si>
    <t>1997-98</t>
  </si>
  <si>
    <t>1996-97</t>
  </si>
  <si>
    <t>1995-96</t>
  </si>
  <si>
    <t>1994-95</t>
  </si>
  <si>
    <t>1992-93</t>
  </si>
  <si>
    <t>Personal Alarm Devices</t>
  </si>
  <si>
    <t>Title 8</t>
  </si>
  <si>
    <t>1991-92</t>
  </si>
  <si>
    <t>Structural and Wildland Firefighter Safety Clothing and Equipment</t>
  </si>
  <si>
    <t xml:space="preserve">Title 8 </t>
  </si>
  <si>
    <t>Less: Net Payments and Offsets</t>
  </si>
  <si>
    <t>1990-91</t>
  </si>
  <si>
    <t>California Fire Incident Reporting System (CFIRS)</t>
  </si>
  <si>
    <t>Ch. 345/87</t>
  </si>
  <si>
    <t>Crime Statistics Reports for the Department of Justice</t>
  </si>
  <si>
    <t>Ch. 1172/89</t>
  </si>
  <si>
    <t>Crime Victims' Domestic Violence Incident Reports II</t>
  </si>
  <si>
    <t>Ch. 483/01</t>
  </si>
  <si>
    <t>Domestic Violence Background Checks</t>
  </si>
  <si>
    <t>Ch. 713/01</t>
  </si>
  <si>
    <t xml:space="preserve">Firearm Hearings for Discharged Inpatients </t>
  </si>
  <si>
    <t>Ch. 578/99</t>
  </si>
  <si>
    <t>Identity Theft</t>
  </si>
  <si>
    <t>Ch. 956/00</t>
  </si>
  <si>
    <t>Interagency Child Abuse and Neglect Investigation Reports</t>
  </si>
  <si>
    <t>Ch. 958/77</t>
  </si>
  <si>
    <t>Local Elections: Consolidation</t>
  </si>
  <si>
    <t>Ch. 1013/81</t>
  </si>
  <si>
    <t>Local Government Employee Relations</t>
  </si>
  <si>
    <t>Ch. 901/00</t>
  </si>
  <si>
    <t>Mentally Disordered Offenders: Treatment as a Condition of Parole</t>
  </si>
  <si>
    <t>Ch. 1419/85</t>
  </si>
  <si>
    <t>Modified Primary Election</t>
  </si>
  <si>
    <t>Ch. 898/00</t>
  </si>
  <si>
    <t>Municipal Storm Water and Urban Runoff Discharges</t>
  </si>
  <si>
    <t>Title 2</t>
  </si>
  <si>
    <t>Peace Officer Training: Mental Health/Crisis Intervention</t>
  </si>
  <si>
    <t>Ch. 469/15</t>
  </si>
  <si>
    <t>Peace Officers Procedural Bill of Rights II</t>
  </si>
  <si>
    <t>Permanent Absent Voters II</t>
  </si>
  <si>
    <t>Ch. 922/01</t>
  </si>
  <si>
    <t>Voter Identification Procedures</t>
  </si>
  <si>
    <t>Ch. 260/00</t>
  </si>
  <si>
    <t>Collective Bargaining and Collective Bargaining Agreement Disclosure</t>
  </si>
  <si>
    <t>Ch. 961/75</t>
  </si>
  <si>
    <t>Enrollment Fee Collection and Waivers</t>
  </si>
  <si>
    <t>Title 5</t>
  </si>
  <si>
    <t>Minimum Conditions for State Aid</t>
  </si>
  <si>
    <t>Ch. 973/88</t>
  </si>
  <si>
    <t>Mandate Reimbursement Process I and II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</si>
  <si>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</si>
  <si>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</si>
  <si>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</si>
  <si>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</si>
  <si>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</si>
  <si>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</si>
  <si>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Ch. 36/77</t>
  </si>
  <si>
    <t>Integrated Waste Management</t>
  </si>
  <si>
    <t>Ch. 1116/92</t>
  </si>
  <si>
    <t>Cal Grants</t>
  </si>
  <si>
    <t>Ch. 403/00</t>
  </si>
  <si>
    <t>Agency Fee Arrangements</t>
  </si>
  <si>
    <t>Ch. 893/00</t>
  </si>
  <si>
    <t>California State Teachers' Retirement System (CalSTRS) Service Credit</t>
  </si>
  <si>
    <t>Ch. 603/94</t>
  </si>
  <si>
    <t>AIDS Instruction and AIDS Prevention Instruction</t>
  </si>
  <si>
    <t>Ch. 818/91</t>
  </si>
  <si>
    <t>California Assessment of Student Performance and Progress (CAASPP)</t>
  </si>
  <si>
    <t>Ch. 489/13</t>
  </si>
  <si>
    <t>Caregiver Affidavits to Establish Residence for School Attendance</t>
  </si>
  <si>
    <t>Ch. 98/94</t>
  </si>
  <si>
    <t>Comprehensive School Safety Plans I and II</t>
  </si>
  <si>
    <t>Ch. 736/97</t>
  </si>
  <si>
    <t>Consolidated Suspensions, Expulsions, and Expulsion Appeals</t>
  </si>
  <si>
    <t>Ch. 1253/75</t>
  </si>
  <si>
    <t>Consolidation of Annual Parent Notification/Schoolsite Discipline Rules/Alternative Schools</t>
  </si>
  <si>
    <t>Ch. 448/75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</si>
  <si>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</si>
  <si>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</si>
  <si>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</si>
  <si>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</si>
  <si>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County Office of Education Fiscal Accountability Reporting</t>
  </si>
  <si>
    <t>Ch. 917/87</t>
  </si>
  <si>
    <t>Criminal Background Checks I</t>
  </si>
  <si>
    <t>Ch. 588/97</t>
  </si>
  <si>
    <t>Financial and Compliance Audits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</si>
  <si>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</si>
  <si>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</si>
  <si>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</si>
  <si>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</si>
  <si>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</si>
  <si>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</si>
  <si>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Immunization Records – Mumps, Rubella, and Hepatitis B</t>
  </si>
  <si>
    <t>Ch. 325/78</t>
  </si>
  <si>
    <t>Immunization Records – Pertussis</t>
  </si>
  <si>
    <t>Ch. 434/10</t>
  </si>
  <si>
    <t>Intradistrict Attendance</t>
  </si>
  <si>
    <t>Ch. 161/93</t>
  </si>
  <si>
    <t>Notification of Truancy</t>
  </si>
  <si>
    <t>Parental Involvement Programs</t>
  </si>
  <si>
    <t>Ch. 1400/90</t>
  </si>
  <si>
    <t>School Accountability Report Cards</t>
  </si>
  <si>
    <t>Ch. 1463/89</t>
  </si>
  <si>
    <t>School District Fiscal Accountability Reporting and Employee Benefits Disclosure</t>
  </si>
  <si>
    <t>Ch. 100/81</t>
  </si>
  <si>
    <t>The Stull Act</t>
  </si>
  <si>
    <t>Training for School Employee Mandated Reporters</t>
  </si>
  <si>
    <t>Ch. 797/14</t>
  </si>
  <si>
    <t>Williams Case Implementation I, II, and III</t>
  </si>
  <si>
    <t>Ch. 900/04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</si>
  <si>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</si>
  <si>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</si>
  <si>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</si>
  <si>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</si>
  <si>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</si>
  <si>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</si>
  <si>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</si>
  <si>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</si>
  <si>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</si>
  <si>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</si>
  <si>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</si>
  <si>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</si>
  <si>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</si>
  <si>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</si>
  <si>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</si>
  <si>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</si>
  <si>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</si>
  <si>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</si>
  <si>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</si>
  <si>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</si>
  <si>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</si>
  <si>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</si>
  <si>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</si>
  <si>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</si>
  <si>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</si>
  <si>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</si>
  <si>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</si>
  <si>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</si>
  <si>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</si>
  <si>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</si>
  <si>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Charter Schools IV</t>
  </si>
  <si>
    <t>Ch. 1058/02</t>
  </si>
  <si>
    <t>Race to the Top</t>
  </si>
  <si>
    <t>Behavioral Intervention Plans (On or after 7/1/2012)</t>
  </si>
  <si>
    <t xml:space="preserve">Title 5 </t>
  </si>
  <si>
    <t>Immunization Records – Hepatitis B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</si>
  <si>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</si>
  <si>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</si>
  <si>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</si>
  <si>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</si>
  <si>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</si>
  <si>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</si>
  <si>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</si>
  <si>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</si>
  <si>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</si>
  <si>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</si>
  <si>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</si>
  <si>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</si>
  <si>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</si>
  <si>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</si>
  <si>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</si>
  <si>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</si>
  <si>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</si>
  <si>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</si>
  <si>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</si>
  <si>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</si>
  <si>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</si>
  <si>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</si>
  <si>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</si>
  <si>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</si>
  <si>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</si>
  <si>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</si>
  <si>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</si>
  <si>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</si>
  <si>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</si>
  <si>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</si>
  <si>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</si>
  <si>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</si>
  <si>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</si>
  <si>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</si>
  <si>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</si>
  <si>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</si>
  <si>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</si>
  <si>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</si>
  <si>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</si>
  <si>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</si>
  <si>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</si>
  <si>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</si>
  <si>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</si>
  <si>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</si>
  <si>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</si>
  <si>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</si>
  <si>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</si>
  <si>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</si>
  <si>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</si>
  <si>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</si>
  <si>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</si>
  <si>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</si>
  <si>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</si>
  <si>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</si>
  <si>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</si>
  <si>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</si>
  <si>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</si>
  <si>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</si>
  <si>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</si>
  <si>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</si>
  <si>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</si>
  <si>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</si>
  <si>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</si>
  <si>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</si>
  <si>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</si>
  <si>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</si>
  <si>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</si>
  <si>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Civic Center Act</t>
  </si>
  <si>
    <t>Ch. 49/84</t>
  </si>
  <si>
    <t>1989-90</t>
  </si>
  <si>
    <t>1988-89</t>
  </si>
  <si>
    <t>1987-88</t>
  </si>
  <si>
    <t>1986-87</t>
  </si>
  <si>
    <t>1985-86</t>
  </si>
  <si>
    <t>Public School Restrooms: Feminine Hygiene Products</t>
  </si>
  <si>
    <t>Ch. 687/17</t>
  </si>
  <si>
    <t>2019-20 Total</t>
  </si>
  <si>
    <t>2018-19 Total</t>
  </si>
  <si>
    <t>2017-18 Total</t>
  </si>
  <si>
    <t>2016-17 Total</t>
  </si>
  <si>
    <t>2015-16 Total</t>
  </si>
  <si>
    <t>2014-15 Total</t>
  </si>
  <si>
    <t>2013-14 Total</t>
  </si>
  <si>
    <t>2012-13 Total</t>
  </si>
  <si>
    <t>2011-12 Total</t>
  </si>
  <si>
    <t>2010-11 Total</t>
  </si>
  <si>
    <t>2009-10 Total</t>
  </si>
  <si>
    <t>2008-09 Total</t>
  </si>
  <si>
    <t>2007-08 Total</t>
  </si>
  <si>
    <t>2006-07 Total</t>
  </si>
  <si>
    <t>2005-06 Total</t>
  </si>
  <si>
    <t>2004-05 Total</t>
  </si>
  <si>
    <t>2003-04 Total</t>
  </si>
  <si>
    <t>2002-03 Total</t>
  </si>
  <si>
    <t>2001-02 Total</t>
  </si>
  <si>
    <t>2000-01 Total</t>
  </si>
  <si>
    <t>1999-00 Total</t>
  </si>
  <si>
    <t>1998-99 Total</t>
  </si>
  <si>
    <t>1997-98 Total</t>
  </si>
  <si>
    <t>1996-97 Total</t>
  </si>
  <si>
    <t>1995-96 Total</t>
  </si>
  <si>
    <t>1994-95 Total</t>
  </si>
  <si>
    <t>1992-93 Total</t>
  </si>
  <si>
    <t>1991-92 Total</t>
  </si>
  <si>
    <t>1993-94 Total</t>
  </si>
  <si>
    <t>1990-91 Total</t>
  </si>
  <si>
    <t>1989-90 Total</t>
  </si>
  <si>
    <t>1988-89 Total</t>
  </si>
  <si>
    <t>1987-88 Total</t>
  </si>
  <si>
    <t>1986-87 Total</t>
  </si>
  <si>
    <t>1985-86 Total</t>
  </si>
  <si>
    <t>California Fire Incident Reporting System (CFIRS) Total</t>
  </si>
  <si>
    <t>Crime Statistics Reports for the Department of Justice Total</t>
  </si>
  <si>
    <t>Crime Victims' Domestic Violence Incident Reports II Total</t>
  </si>
  <si>
    <t>Domestic Violence Background Checks Total</t>
  </si>
  <si>
    <t>Identity Theft Total</t>
  </si>
  <si>
    <t>Interagency Child Abuse and Neglect Investigation Reports Total</t>
  </si>
  <si>
    <t>Local Elections: Consolidation Total</t>
  </si>
  <si>
    <t>Local Government Employee Relations Total</t>
  </si>
  <si>
    <t>Mentally Disordered Offenders: Treatment as a Condition of Parole Total</t>
  </si>
  <si>
    <t>Modified Primary Election Total</t>
  </si>
  <si>
    <t>Peace Officers Procedural Bill of Rights II Total</t>
  </si>
  <si>
    <t>Permanent Absent Voters II Total</t>
  </si>
  <si>
    <t>Voter Identification Procedures Total</t>
  </si>
  <si>
    <t>Total School Districts</t>
  </si>
  <si>
    <t>Total Community College Districts</t>
  </si>
  <si>
    <t>Total Funded Mandates</t>
  </si>
  <si>
    <t>2020-21</t>
  </si>
  <si>
    <t>2020-21 Total</t>
  </si>
  <si>
    <t>Racial and Identity Profiling</t>
  </si>
  <si>
    <t>Ch. 466/15</t>
  </si>
  <si>
    <t>Sexual Assault Evidence Kits: Testing</t>
  </si>
  <si>
    <t>Ch. 588/19</t>
  </si>
  <si>
    <t>Vote by Mail Ballots: Prepaid Postage</t>
  </si>
  <si>
    <t>Ch. 120/18</t>
  </si>
  <si>
    <t>Racial and Identity Profiling Total</t>
  </si>
  <si>
    <t>Sexual Assault Evidence Kits: Testing Total</t>
  </si>
  <si>
    <t>Ch. 6,7,40/20</t>
  </si>
  <si>
    <t>0001-6870-2020-295-98</t>
  </si>
  <si>
    <t>0001-6870-2021-295-98</t>
  </si>
  <si>
    <t>0001-6100-2020-295-98</t>
  </si>
  <si>
    <t>0001-6100-2021-295-98</t>
  </si>
  <si>
    <t>0106-8885-2020-295-98</t>
  </si>
  <si>
    <t>0106-8885-2021-295-98</t>
  </si>
  <si>
    <t>0044-8885-2020-295-98</t>
  </si>
  <si>
    <t>0044-8885-2021-295-98</t>
  </si>
  <si>
    <t>0001-8885-2020-295-98</t>
  </si>
  <si>
    <t>0001-8885-2021-295-98</t>
  </si>
  <si>
    <t>Add: Receipts
and Recovered
Amounts</t>
  </si>
  <si>
    <t>Original
Appropriation
Amount</t>
  </si>
  <si>
    <t>Reversion Date</t>
  </si>
  <si>
    <t>Fiscal Year of
Claims Paid</t>
  </si>
  <si>
    <t>Appropriation
Number</t>
  </si>
  <si>
    <t>0106-8885-2021-295-98 Total</t>
  </si>
  <si>
    <t>0044-8885-2021-295-98 Total</t>
  </si>
  <si>
    <t>Total
Payments</t>
  </si>
  <si>
    <t>Program
Number</t>
  </si>
  <si>
    <t>Sexually Violent Predators For the Period of 7/1/2011 through 6/30/2018</t>
  </si>
  <si>
    <t>Sexually Violent Predators For the Period of 7/1/2011 through 6/30/2018 Total</t>
  </si>
  <si>
    <t>N/A</t>
  </si>
  <si>
    <t>Accounts Receivable
Balance</t>
  </si>
  <si>
    <t>Less: 
Recovered 
Amount</t>
  </si>
  <si>
    <t>Established
Accounts Receivable</t>
  </si>
  <si>
    <t>Accounts Payable
Balance</t>
  </si>
  <si>
    <t>Comment</t>
  </si>
  <si>
    <t>Please continue to next table.</t>
  </si>
  <si>
    <t xml:space="preserve">N/A       </t>
  </si>
  <si>
    <t>Comment: Local agencies do not receive funding offsets.</t>
  </si>
  <si>
    <t>Comment: This amount includes offsets applied from prior years.</t>
  </si>
  <si>
    <t>Schools Total</t>
  </si>
  <si>
    <t>Program 
Number</t>
  </si>
  <si>
    <t>Less: Net
Payments 
and Offsets</t>
  </si>
  <si>
    <t>Less:
 Recovered
Amount</t>
  </si>
  <si>
    <t>Firearm Hearings for Discharged Inpatients Total</t>
  </si>
  <si>
    <t>Firearm Hearings for Discharged Inpatients</t>
  </si>
  <si>
    <t>Comment: There are no unfunded school district and community college district state-mandated programs.</t>
  </si>
  <si>
    <t>Comment: Amount due to local agencies, school districts, and community college districts.</t>
  </si>
  <si>
    <t>Comment: Total accounts receivable established due to desk reviews and field audit claim adjustments.</t>
  </si>
  <si>
    <t>Comment: Amount due from local agencies, school districts (includes ineligible charter schools), and community college districts.</t>
  </si>
  <si>
    <t>Comment: Net amount of deficiencies and surpluses (A/P Balance less A/R Balance equals Net Balance).</t>
  </si>
  <si>
    <t>B1-Funded</t>
  </si>
  <si>
    <t>Comment1</t>
  </si>
  <si>
    <t>Comment3</t>
  </si>
  <si>
    <t>Comment4</t>
  </si>
  <si>
    <t>Comment5</t>
  </si>
  <si>
    <t>Comment6</t>
  </si>
  <si>
    <t>Comment: State-mandated programs appropriated for payments in the Budget Act (funded) and programs without appropriations (unfunded).</t>
  </si>
  <si>
    <t>B2-Unfunded</t>
  </si>
  <si>
    <t>Comment: State-mandated programs appropriated for payments in the Budget Act (funded) and programs without appropriations (unfunded). There are no unfunded school district and community college district state-mandated programs.</t>
  </si>
  <si>
    <t>Program Category
and Type of Payment</t>
  </si>
  <si>
    <t>Fiscal 
Year</t>
  </si>
  <si>
    <t>Appropriation 
Number</t>
  </si>
  <si>
    <t>Program 
Name</t>
  </si>
  <si>
    <t>Legal 
Reference
(Ch./Year)</t>
  </si>
  <si>
    <t>Program 
Payments and Offsets</t>
  </si>
  <si>
    <t>Interest
Payments and Offsets</t>
  </si>
  <si>
    <t>Total 
Payments</t>
  </si>
  <si>
    <t>School District-Annual Claim</t>
  </si>
  <si>
    <t>Program
Payments and Offsets</t>
  </si>
  <si>
    <t>School District</t>
  </si>
  <si>
    <t>Local Agencies-Annual Claim</t>
  </si>
  <si>
    <t>Local Agencies-Motor Vehicle</t>
  </si>
  <si>
    <t>Local Agencies-Pesticide</t>
  </si>
  <si>
    <t>Grand Total</t>
  </si>
  <si>
    <t>Local Agencies-General Fund</t>
  </si>
  <si>
    <t>Motor Vehicle Account-Non-General Fund</t>
  </si>
  <si>
    <t>Pesticide Regulation-Non-General Fund</t>
  </si>
  <si>
    <t>School Districts-General Fund</t>
  </si>
  <si>
    <t>Community College Districts-General Fund</t>
  </si>
  <si>
    <t>Program Category
 and Fund</t>
  </si>
  <si>
    <t>Comment: As of 4/1/2021, except for the Budget Act of 2021 appropriations as of 7/1/2021.</t>
  </si>
  <si>
    <t>Local Agencies-General Fund Total</t>
  </si>
  <si>
    <t>Motor Vehicle Account-Non-General Fund Total</t>
  </si>
  <si>
    <t>Pesticide Regulation-Non-General Fund Total</t>
  </si>
  <si>
    <t>School Districts-General Fund Total</t>
  </si>
  <si>
    <t>Community College Districts-General Fund Total</t>
  </si>
  <si>
    <t xml:space="preserve"> State of California</t>
  </si>
  <si>
    <t>State-Mandated Program Cost Report</t>
  </si>
  <si>
    <t>of Unpaid Claims and Deficiencies</t>
  </si>
  <si>
    <t>(Government Code section 17562(b)(2))</t>
  </si>
  <si>
    <t>Image on Office of the Controller, State of California Seal</t>
  </si>
  <si>
    <t>California State Controller’s Office</t>
  </si>
  <si>
    <t>CONTENTS</t>
  </si>
  <si>
    <t>STATE-MANDATED PROGRAM COST REPORT OF UNPAID CLAIMS AND DEFICIENCIES</t>
  </si>
  <si>
    <t>FOR LOCAL AGENCIES, SCHOOL DISTRICTS, AND COMMUNITY COLLEGE DISTRICTS</t>
  </si>
  <si>
    <t>SCHEDULE A:</t>
  </si>
  <si>
    <t>SUMMARY OF STATE-MANDATED PROGRAM APPROPRIATIONS, RECEIPTS, AND PAYMENTS</t>
  </si>
  <si>
    <t>Page 3</t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</si>
  <si>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</si>
  <si>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</si>
  <si>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</si>
  <si>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</si>
  <si>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</si>
  <si>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SCHEDULE B2:</t>
  </si>
  <si>
    <t>DETAIL OF UNFUNDED STATE-MANDATED PROGRAMS</t>
  </si>
  <si>
    <t>MALIA M. COHEN</t>
  </si>
  <si>
    <r>
      <t>SCHEDULE A1:</t>
    </r>
    <r>
      <rPr>
        <sz val="14"/>
        <color theme="1"/>
        <rFont val="Verdana"/>
        <family val="2"/>
      </rPr>
      <t xml:space="preserve"> </t>
    </r>
  </si>
  <si>
    <t>As of April 1, 2023</t>
  </si>
  <si>
    <t>For the Budget Acts of 2020-21, 2021-22, and 2022-23</t>
  </si>
  <si>
    <t>For 2021-22 and Prior Fiscal Years</t>
  </si>
  <si>
    <t>0001-8885-2022-295-98</t>
  </si>
  <si>
    <t>Ch. 43,45/22</t>
  </si>
  <si>
    <t>2020-21 and prior</t>
  </si>
  <si>
    <t>Ch. 21,43,69,84,240/21</t>
  </si>
  <si>
    <t>State Controller's Office
Schedule A: Summary of State-Mandated Program Appropriations, Receipts, and Payments 
As of April 1, 2023</t>
  </si>
  <si>
    <t>Less: Mandated Program Payments, Offsets, and Interest (see Schedule A1)</t>
  </si>
  <si>
    <t>Appropriation
Balances
as of 4/1/2023</t>
  </si>
  <si>
    <t xml:space="preserve"> N/A </t>
  </si>
  <si>
    <t>Budget Adjustments</t>
  </si>
  <si>
    <r>
      <t xml:space="preserve">Appropriation Balances </t>
    </r>
    <r>
      <rPr>
        <b/>
        <vertAlign val="superscript"/>
        <sz val="12"/>
        <rFont val="Verdana"/>
        <family val="2"/>
      </rPr>
      <t>1</t>
    </r>
  </si>
  <si>
    <r>
      <t>Appropriation Balances</t>
    </r>
    <r>
      <rPr>
        <b/>
        <vertAlign val="superscript"/>
        <sz val="12"/>
        <color theme="1"/>
        <rFont val="Verdana"/>
        <family val="2"/>
      </rPr>
      <t xml:space="preserve">1 </t>
    </r>
  </si>
  <si>
    <t>0044-8885-2022-295-98</t>
  </si>
  <si>
    <t>0106-8885-2022-295-98</t>
  </si>
  <si>
    <t>0001-6100-2022-295-98</t>
  </si>
  <si>
    <t>0001-6870-2022-295-98</t>
  </si>
  <si>
    <r>
      <rPr>
        <vertAlign val="superscript"/>
        <sz val="12"/>
        <color theme="1"/>
        <rFont val="Verdana"/>
        <family val="2"/>
      </rPr>
      <t>1</t>
    </r>
    <r>
      <rPr>
        <sz val="12"/>
        <color theme="1"/>
        <rFont val="Verdana"/>
        <family val="2"/>
      </rPr>
      <t xml:space="preserve"> As of 4/1/2022, except Budget Act of 2022 appropriations are as of 7/1/2022.</t>
    </r>
  </si>
  <si>
    <r>
      <rPr>
        <vertAlign val="superscript"/>
        <sz val="12"/>
        <color theme="1"/>
        <rFont val="Verdana"/>
        <family val="2"/>
      </rPr>
      <t>2</t>
    </r>
    <r>
      <rPr>
        <sz val="12"/>
        <color theme="1"/>
        <rFont val="Verdana"/>
        <family val="2"/>
      </rPr>
      <t xml:space="preserve"> Per Item 0001-6870-2022-488, Schedule (7) of the Budget Act of 2022, $13,000 was re-appropriated from Item 0001-6870-2020-295 of the Budget Act of 2020.</t>
    </r>
  </si>
  <si>
    <t>0001-8885-2022-295-98 Total</t>
  </si>
  <si>
    <t>State Controller's Office
Schedule A1: Detail of State-Mandated Program Payments by Fiscal Year 
As of April 1, 2023</t>
  </si>
  <si>
    <r>
      <t xml:space="preserve">Grand Total Local Agencies and School Districts </t>
    </r>
    <r>
      <rPr>
        <b/>
        <vertAlign val="superscript"/>
        <sz val="12"/>
        <rFont val="Verdana"/>
        <family val="2"/>
      </rPr>
      <t>3</t>
    </r>
  </si>
  <si>
    <t>Comment: Per Item 0001-6870-2022-488, Schedule (7) of the Budget Act of 2022, $13,000 was re-appropriated from Item 0001-6870-2020-295 of the Budget Act of 2020.</t>
  </si>
  <si>
    <r>
      <t>Footnotes:</t>
    </r>
    <r>
      <rPr>
        <sz val="12"/>
        <color theme="0"/>
        <rFont val="Verdana"/>
        <family val="2"/>
      </rPr>
      <t xml:space="preserve"> (For those using screen readers these footnotes are identical to comments referenced in cells H2 and J28)</t>
    </r>
    <r>
      <rPr>
        <vertAlign val="superscript"/>
        <sz val="11"/>
        <color theme="1"/>
        <rFont val="Calibri"/>
        <family val="2"/>
        <scheme val="minor"/>
      </rPr>
      <t/>
    </r>
  </si>
  <si>
    <r>
      <t>Footnote:</t>
    </r>
    <r>
      <rPr>
        <sz val="12"/>
        <color theme="0"/>
        <rFont val="Verdana"/>
        <family val="2"/>
      </rPr>
      <t xml:space="preserve"> (For those using screen readers this footnote is identical to comment referenced in cell B31.)</t>
    </r>
  </si>
  <si>
    <r>
      <rPr>
        <vertAlign val="superscript"/>
        <sz val="12"/>
        <color theme="1"/>
        <rFont val="Verdana"/>
        <family val="2"/>
      </rPr>
      <t xml:space="preserve">3 </t>
    </r>
    <r>
      <rPr>
        <sz val="12"/>
        <color theme="1"/>
        <rFont val="Verdana"/>
        <family val="2"/>
      </rPr>
      <t>All community college districts participate in the block grant program. Therefore, no payments are made to any community college districts.</t>
    </r>
  </si>
  <si>
    <t>Comment: All community college districts participate in the block grant program. Therefore, no payments are made to any community college districts.</t>
  </si>
  <si>
    <t>State Controller's Office
Schedule B: Summary of Funded and Unfunded State-Mandated Programs
As of April 1, 2023</t>
  </si>
  <si>
    <t>2021-22 and Prior</t>
  </si>
  <si>
    <r>
      <t xml:space="preserve">Accounts Payable
Balance </t>
    </r>
    <r>
      <rPr>
        <b/>
        <vertAlign val="superscript"/>
        <sz val="12"/>
        <rFont val="Verdana"/>
        <family val="2"/>
      </rPr>
      <t>3</t>
    </r>
  </si>
  <si>
    <r>
      <t xml:space="preserve">Established
Accounts
Receivable </t>
    </r>
    <r>
      <rPr>
        <b/>
        <vertAlign val="superscript"/>
        <sz val="12"/>
        <rFont val="Verdana"/>
        <family val="2"/>
      </rPr>
      <t>4</t>
    </r>
  </si>
  <si>
    <r>
      <t xml:space="preserve">Accounts Receivable
Balance </t>
    </r>
    <r>
      <rPr>
        <b/>
        <vertAlign val="superscript"/>
        <sz val="12"/>
        <rFont val="Verdana"/>
        <family val="2"/>
      </rPr>
      <t>5</t>
    </r>
  </si>
  <si>
    <r>
      <t xml:space="preserve">Net
Balance </t>
    </r>
    <r>
      <rPr>
        <b/>
        <vertAlign val="superscript"/>
        <sz val="12"/>
        <rFont val="Verdana"/>
        <family val="2"/>
      </rPr>
      <t>6</t>
    </r>
  </si>
  <si>
    <r>
      <t>Accounts Payable
Balance</t>
    </r>
    <r>
      <rPr>
        <b/>
        <vertAlign val="superscript"/>
        <sz val="12"/>
        <color theme="1"/>
        <rFont val="Verdana"/>
        <family val="2"/>
      </rPr>
      <t xml:space="preserve"> 3</t>
    </r>
  </si>
  <si>
    <r>
      <t xml:space="preserve">Established
Accounts 
Receivable </t>
    </r>
    <r>
      <rPr>
        <b/>
        <vertAlign val="superscript"/>
        <sz val="12"/>
        <color theme="1"/>
        <rFont val="Verdana"/>
        <family val="2"/>
      </rPr>
      <t>4</t>
    </r>
  </si>
  <si>
    <r>
      <t xml:space="preserve">Accounts Receivable
Balance </t>
    </r>
    <r>
      <rPr>
        <b/>
        <vertAlign val="superscript"/>
        <sz val="12"/>
        <color theme="1"/>
        <rFont val="Verdana"/>
        <family val="2"/>
      </rPr>
      <t>5</t>
    </r>
  </si>
  <si>
    <r>
      <t xml:space="preserve">Net
Balance </t>
    </r>
    <r>
      <rPr>
        <b/>
        <vertAlign val="superscript"/>
        <sz val="12"/>
        <color theme="1"/>
        <rFont val="Verdana"/>
        <family val="2"/>
      </rPr>
      <t>6</t>
    </r>
  </si>
  <si>
    <r>
      <t xml:space="preserve">Total Schedule B1: Funded Mandates </t>
    </r>
    <r>
      <rPr>
        <b/>
        <vertAlign val="superscript"/>
        <sz val="12"/>
        <rFont val="Verdana"/>
        <family val="2"/>
      </rPr>
      <t>7</t>
    </r>
  </si>
  <si>
    <r>
      <t xml:space="preserve">Total Schedule B2: Unfunded Mandates </t>
    </r>
    <r>
      <rPr>
        <b/>
        <vertAlign val="superscript"/>
        <sz val="12"/>
        <rFont val="Verdana"/>
        <family val="2"/>
      </rPr>
      <t>7, 8</t>
    </r>
  </si>
  <si>
    <r>
      <t xml:space="preserve">Footnotes: </t>
    </r>
    <r>
      <rPr>
        <sz val="12"/>
        <color theme="0"/>
        <rFont val="Verdana"/>
        <family val="2"/>
      </rPr>
      <t>(For those using screen readers these footnotes are identical to comments referenced in cells G3, G8, I2, K2, N2, P2, B17 and B26.)</t>
    </r>
  </si>
  <si>
    <r>
      <rPr>
        <vertAlign val="superscript"/>
        <sz val="12"/>
        <color theme="1"/>
        <rFont val="Verdana"/>
        <family val="2"/>
      </rPr>
      <t>1</t>
    </r>
    <r>
      <rPr>
        <sz val="12"/>
        <color theme="1"/>
        <rFont val="Verdana"/>
        <family val="2"/>
      </rPr>
      <t xml:space="preserve"> Local agencies do not receive funding offsets.</t>
    </r>
  </si>
  <si>
    <r>
      <rPr>
        <vertAlign val="superscript"/>
        <sz val="12"/>
        <color theme="1"/>
        <rFont val="Verdana"/>
        <family val="2"/>
      </rPr>
      <t>2</t>
    </r>
    <r>
      <rPr>
        <sz val="12"/>
        <color theme="1"/>
        <rFont val="Verdana"/>
        <family val="2"/>
      </rPr>
      <t xml:space="preserve"> This amount includes offsets applied from prior years.</t>
    </r>
  </si>
  <si>
    <r>
      <rPr>
        <vertAlign val="superscript"/>
        <sz val="12"/>
        <color theme="1"/>
        <rFont val="Verdana"/>
        <family val="2"/>
      </rPr>
      <t>3</t>
    </r>
    <r>
      <rPr>
        <sz val="12"/>
        <color theme="1"/>
        <rFont val="Verdana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</si>
  <si>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Verdana"/>
        <family val="2"/>
      </rPr>
      <t>4</t>
    </r>
    <r>
      <rPr>
        <sz val="12"/>
        <color theme="1"/>
        <rFont val="Verdana"/>
        <family val="2"/>
      </rPr>
      <t xml:space="preserve"> Total accounts receivable established due to desk reviews and field audit claim adjustments.</t>
    </r>
  </si>
  <si>
    <r>
      <t>5</t>
    </r>
    <r>
      <rPr>
        <sz val="12"/>
        <color theme="1"/>
        <rFont val="Verdana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</si>
  <si>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Verdana"/>
        <family val="2"/>
      </rPr>
      <t xml:space="preserve">6 </t>
    </r>
    <r>
      <rPr>
        <sz val="12"/>
        <color theme="1"/>
        <rFont val="Verdana"/>
        <family val="2"/>
      </rPr>
      <t>Net amount of deficiencies and surpluses (A/P Balance less A/R Balance equals Net Balance).</t>
    </r>
  </si>
  <si>
    <r>
      <t xml:space="preserve">7 </t>
    </r>
    <r>
      <rPr>
        <sz val="12"/>
        <color theme="1"/>
        <rFont val="Verdana"/>
        <family val="2"/>
      </rPr>
      <t>State-mandated programs appropriated for payments in the Budget Act (funded) and programs without appropriations (unfunded).</t>
    </r>
  </si>
  <si>
    <r>
      <t xml:space="preserve">8 </t>
    </r>
    <r>
      <rPr>
        <sz val="12"/>
        <color theme="1"/>
        <rFont val="Verdana"/>
        <family val="2"/>
      </rPr>
      <t>There are no unfunded school district and community college district state-mandated programs.</t>
    </r>
  </si>
  <si>
    <t>N/A2</t>
  </si>
  <si>
    <t>State Controller's Office
Schedule B1: Detail of Funded State-Mandated Programs by Fiscal Year
As of April 1, 2023</t>
  </si>
  <si>
    <r>
      <t xml:space="preserve">Less: Net 
Payments
 and Offsets </t>
    </r>
    <r>
      <rPr>
        <b/>
        <vertAlign val="superscript"/>
        <sz val="12"/>
        <rFont val="Verdana"/>
        <family val="2"/>
      </rPr>
      <t>1</t>
    </r>
  </si>
  <si>
    <r>
      <t xml:space="preserve">Less: Net 
Payments
 and Offsets </t>
    </r>
    <r>
      <rPr>
        <b/>
        <vertAlign val="superscript"/>
        <sz val="12"/>
        <color theme="1"/>
        <rFont val="Verdana"/>
        <family val="2"/>
      </rPr>
      <t>1</t>
    </r>
  </si>
  <si>
    <r>
      <t xml:space="preserve">Footnote: </t>
    </r>
    <r>
      <rPr>
        <sz val="12"/>
        <color theme="0"/>
        <rFont val="Verdana"/>
        <family val="2"/>
      </rPr>
      <t>(For those using screen readers this footnote is identical to comment referenced in cell G2.)</t>
    </r>
  </si>
  <si>
    <t>2021-22</t>
  </si>
  <si>
    <t>Local Agency Employee Organizations: Impasse 
Procedures II</t>
  </si>
  <si>
    <t>2021-22 Total</t>
  </si>
  <si>
    <r>
      <t xml:space="preserve">Less: Net
 Payments and 
Offsets </t>
    </r>
    <r>
      <rPr>
        <b/>
        <vertAlign val="superscript"/>
        <sz val="12"/>
        <color theme="1"/>
        <rFont val="Verdana"/>
        <family val="2"/>
      </rPr>
      <t>2</t>
    </r>
  </si>
  <si>
    <r>
      <rPr>
        <vertAlign val="superscript"/>
        <sz val="12"/>
        <color theme="1"/>
        <rFont val="Verdana"/>
        <family val="2"/>
      </rPr>
      <t xml:space="preserve">2 </t>
    </r>
    <r>
      <rPr>
        <sz val="12"/>
        <color theme="1"/>
        <rFont val="Verdana"/>
        <family val="2"/>
      </rPr>
      <t>This amount includes offsets applied from prior years.</t>
    </r>
  </si>
  <si>
    <r>
      <t xml:space="preserve">Less: Net
Payments and 
Offsets </t>
    </r>
    <r>
      <rPr>
        <vertAlign val="superscript"/>
        <sz val="11"/>
        <color theme="1"/>
        <rFont val="Calibri"/>
        <family val="2"/>
        <scheme val="minor"/>
      </rPr>
      <t>2</t>
    </r>
  </si>
  <si>
    <t>State Controller's Office
Schedule B2: Detail of Unfunded State-Mandated Programs
As of April 1, 2023</t>
  </si>
  <si>
    <r>
      <t xml:space="preserve">Less: Net
 Payments and 
Offsets </t>
    </r>
    <r>
      <rPr>
        <b/>
        <vertAlign val="superscript"/>
        <sz val="12"/>
        <rFont val="Verdana"/>
        <family val="2"/>
      </rPr>
      <t>2</t>
    </r>
  </si>
  <si>
    <t>County of Los Angeles Citizens Redistricting Commission</t>
  </si>
  <si>
    <t>Ch. 781/16</t>
  </si>
  <si>
    <t>Page 4</t>
  </si>
  <si>
    <t>Page 6</t>
  </si>
  <si>
    <t>Page 7</t>
  </si>
  <si>
    <t>Page 39</t>
  </si>
  <si>
    <r>
      <t>Less: Net
Payments and 
Offsets</t>
    </r>
    <r>
      <rPr>
        <b/>
        <vertAlign val="superscript"/>
        <sz val="12"/>
        <rFont val="Verdana"/>
        <family val="2"/>
      </rPr>
      <t xml:space="preserve"> 2</t>
    </r>
  </si>
  <si>
    <r>
      <t xml:space="preserve">Total Unfunded Mandates </t>
    </r>
    <r>
      <rPr>
        <b/>
        <vertAlign val="superscript"/>
        <sz val="12"/>
        <rFont val="Verdana"/>
        <family val="2"/>
      </rPr>
      <t>8</t>
    </r>
  </si>
  <si>
    <r>
      <t xml:space="preserve">Footnote: </t>
    </r>
    <r>
      <rPr>
        <sz val="12"/>
        <color theme="0"/>
        <rFont val="Verdana"/>
        <family val="2"/>
      </rPr>
      <t>(For those using screen readers this footnote is identical to comment referenced in cell B262.)</t>
    </r>
  </si>
  <si>
    <r>
      <rPr>
        <vertAlign val="superscript"/>
        <sz val="12"/>
        <color theme="1"/>
        <rFont val="Verdana"/>
        <family val="2"/>
      </rPr>
      <t>8</t>
    </r>
    <r>
      <rPr>
        <sz val="12"/>
        <color theme="1"/>
        <rFont val="Verdana"/>
        <family val="2"/>
      </rPr>
      <t xml:space="preserve"> There are no unfunded school district and community college district state-mandated programs.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</si>
</sst>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36"/>
      <name val="Franklin Gothic Medium Cond"/>
      <family val="2"/>
    </font>
    <font>
      <sz val="24"/>
      <name val="Verdana"/>
      <family val="2"/>
    </font>
    <font>
      <b/>
      <sz val="36"/>
      <name val="Verdana"/>
      <family val="2"/>
    </font>
    <font>
      <sz val="12"/>
      <color theme="0"/>
      <name val="Verdana"/>
      <family val="2"/>
    </font>
    <font>
      <b/>
      <sz val="32"/>
      <name val="Verdana"/>
      <family val="2"/>
    </font>
    <font>
      <b/>
      <sz val="16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Verdana"/>
      <family val="2"/>
    </font>
    <font>
      <b/>
      <sz val="14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2"/>
      <name val="Verdana"/>
      <family val="2"/>
    </font>
    <font>
      <b/>
      <sz val="12"/>
      <color theme="0"/>
      <name val="Verdana"/>
      <family val="2"/>
    </font>
    <font>
      <b/>
      <vertAlign val="superscript"/>
      <sz val="12"/>
      <name val="Verdana"/>
      <family val="2"/>
    </font>
    <font>
      <b/>
      <sz val="11"/>
      <color theme="1"/>
      <name val="Verdana"/>
      <family val="2"/>
    </font>
    <font>
      <b/>
      <vertAlign val="superscript"/>
      <sz val="12"/>
      <color theme="1"/>
      <name val="Verdana"/>
      <family val="2"/>
    </font>
    <font>
      <vertAlign val="superscript"/>
      <sz val="12"/>
      <color theme="1"/>
      <name val="Verdana"/>
      <family val="2"/>
    </font>
    <font>
      <sz val="12"/>
      <name val="Verdana"/>
      <family val="2"/>
    </font>
    <font>
      <sz val="12"/>
      <color indexed="81"/>
      <name val="Verdana"/>
      <family val="2"/>
    </font>
    <font>
      <b/>
      <sz val="12"/>
      <color theme="1"/>
      <name val="Verdana"/>
    </font>
    <font>
      <b/>
      <sz val="12"/>
      <color theme="0"/>
      <name val="Verdana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thin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thin">
        <color auto="1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1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thin">
        <color auto="1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/>
    </xf>
    <xf numFmtId="0" fontId="9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/>
    </xf>
    <xf numFmtId="0" fontId="12" fillId="0" borderId="0" xfId="0" applyFont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Continuous"/>
    </xf>
    <xf numFmtId="0" fontId="11" fillId="0" borderId="0" xfId="0" applyFont="1"/>
    <xf numFmtId="0" fontId="14" fillId="0" borderId="18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center"/>
    </xf>
    <xf numFmtId="14" fontId="14" fillId="0" borderId="14" xfId="0" applyNumberFormat="1" applyFont="1" applyFill="1" applyBorder="1" applyAlignment="1">
      <alignment horizontal="center"/>
    </xf>
    <xf numFmtId="42" fontId="14" fillId="0" borderId="14" xfId="2" applyNumberFormat="1" applyFont="1" applyFill="1" applyBorder="1" applyAlignment="1">
      <alignment horizontal="left"/>
    </xf>
    <xf numFmtId="42" fontId="14" fillId="0" borderId="14" xfId="0" applyNumberFormat="1" applyFont="1" applyFill="1" applyBorder="1" applyAlignment="1">
      <alignment horizontal="left"/>
    </xf>
    <xf numFmtId="42" fontId="14" fillId="0" borderId="12" xfId="0" applyNumberFormat="1" applyFont="1" applyFill="1" applyBorder="1" applyAlignment="1">
      <alignment horizontal="left"/>
    </xf>
    <xf numFmtId="42" fontId="14" fillId="0" borderId="19" xfId="0" applyNumberFormat="1" applyFont="1" applyFill="1" applyBorder="1" applyAlignment="1">
      <alignment horizontal="left"/>
    </xf>
    <xf numFmtId="165" fontId="15" fillId="0" borderId="20" xfId="0" applyNumberFormat="1" applyFont="1" applyFill="1" applyBorder="1" applyAlignment="1">
      <alignment horizontal="center" wrapText="1"/>
    </xf>
    <xf numFmtId="165" fontId="15" fillId="0" borderId="20" xfId="0" applyNumberFormat="1" applyFont="1" applyFill="1" applyBorder="1" applyAlignment="1" applyProtection="1">
      <alignment horizontal="center" wrapText="1"/>
      <protection locked="0"/>
    </xf>
    <xf numFmtId="0" fontId="14" fillId="0" borderId="30" xfId="0" applyFont="1" applyFill="1" applyBorder="1" applyAlignment="1">
      <alignment horizontal="left"/>
    </xf>
    <xf numFmtId="0" fontId="14" fillId="0" borderId="31" xfId="0" applyFont="1" applyFill="1" applyBorder="1" applyAlignment="1">
      <alignment horizontal="left"/>
    </xf>
    <xf numFmtId="0" fontId="14" fillId="0" borderId="31" xfId="0" applyFont="1" applyFill="1" applyBorder="1" applyAlignment="1">
      <alignment horizontal="center"/>
    </xf>
    <xf numFmtId="14" fontId="14" fillId="0" borderId="31" xfId="0" applyNumberFormat="1" applyFont="1" applyFill="1" applyBorder="1" applyAlignment="1">
      <alignment horizontal="center"/>
    </xf>
    <xf numFmtId="42" fontId="14" fillId="0" borderId="31" xfId="2" applyNumberFormat="1" applyFont="1" applyFill="1" applyBorder="1" applyAlignment="1">
      <alignment horizontal="left"/>
    </xf>
    <xf numFmtId="42" fontId="14" fillId="0" borderId="31" xfId="0" applyNumberFormat="1" applyFont="1" applyFill="1" applyBorder="1" applyAlignment="1">
      <alignment horizontal="left"/>
    </xf>
    <xf numFmtId="0" fontId="14" fillId="0" borderId="32" xfId="0" applyFont="1" applyFill="1" applyBorder="1" applyAlignment="1">
      <alignment horizontal="left"/>
    </xf>
    <xf numFmtId="0" fontId="14" fillId="0" borderId="33" xfId="0" applyFont="1" applyFill="1" applyBorder="1" applyAlignment="1">
      <alignment horizontal="left"/>
    </xf>
    <xf numFmtId="14" fontId="14" fillId="0" borderId="33" xfId="0" applyNumberFormat="1" applyFont="1" applyFill="1" applyBorder="1" applyAlignment="1">
      <alignment horizontal="center"/>
    </xf>
    <xf numFmtId="42" fontId="14" fillId="0" borderId="33" xfId="2" applyNumberFormat="1" applyFont="1" applyFill="1" applyBorder="1" applyAlignment="1">
      <alignment horizontal="left"/>
    </xf>
    <xf numFmtId="0" fontId="14" fillId="0" borderId="0" xfId="0" applyFont="1" applyFill="1"/>
    <xf numFmtId="0" fontId="8" fillId="0" borderId="14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 wrapText="1"/>
    </xf>
    <xf numFmtId="0" fontId="15" fillId="0" borderId="26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left"/>
    </xf>
    <xf numFmtId="0" fontId="17" fillId="0" borderId="0" xfId="0" applyFont="1" applyFill="1" applyBorder="1"/>
    <xf numFmtId="5" fontId="14" fillId="0" borderId="14" xfId="2" applyNumberFormat="1" applyFont="1" applyFill="1" applyBorder="1" applyAlignment="1"/>
    <xf numFmtId="42" fontId="8" fillId="0" borderId="14" xfId="2" applyNumberFormat="1" applyFont="1" applyFill="1" applyBorder="1" applyAlignment="1">
      <alignment horizontal="left"/>
    </xf>
    <xf numFmtId="5" fontId="8" fillId="0" borderId="14" xfId="2" applyNumberFormat="1" applyFont="1" applyFill="1" applyBorder="1" applyAlignment="1"/>
    <xf numFmtId="5" fontId="14" fillId="0" borderId="10" xfId="2" applyNumberFormat="1" applyFont="1" applyFill="1" applyBorder="1" applyAlignment="1"/>
    <xf numFmtId="5" fontId="8" fillId="0" borderId="10" xfId="2" applyNumberFormat="1" applyFont="1" applyFill="1" applyBorder="1" applyAlignment="1"/>
    <xf numFmtId="0" fontId="15" fillId="0" borderId="7" xfId="0" applyFont="1" applyFill="1" applyBorder="1"/>
    <xf numFmtId="0" fontId="17" fillId="0" borderId="29" xfId="0" applyFont="1" applyFill="1" applyBorder="1"/>
    <xf numFmtId="0" fontId="17" fillId="0" borderId="1" xfId="0" applyFont="1" applyFill="1" applyBorder="1"/>
    <xf numFmtId="42" fontId="15" fillId="0" borderId="1" xfId="0" applyNumberFormat="1" applyFont="1" applyFill="1" applyBorder="1"/>
    <xf numFmtId="0" fontId="15" fillId="0" borderId="1" xfId="0" applyFont="1" applyFill="1" applyBorder="1"/>
    <xf numFmtId="0" fontId="8" fillId="0" borderId="0" xfId="0" applyFont="1" applyFill="1" applyBorder="1"/>
    <xf numFmtId="0" fontId="14" fillId="0" borderId="7" xfId="0" applyFont="1" applyFill="1" applyBorder="1"/>
    <xf numFmtId="0" fontId="14" fillId="0" borderId="7" xfId="0" applyFont="1" applyFill="1" applyBorder="1" applyAlignment="1">
      <alignment horizontal="center"/>
    </xf>
    <xf numFmtId="0" fontId="8" fillId="0" borderId="7" xfId="0" applyFont="1" applyFill="1" applyBorder="1"/>
    <xf numFmtId="42" fontId="14" fillId="0" borderId="7" xfId="2" applyNumberFormat="1" applyFont="1" applyFill="1" applyBorder="1" applyAlignment="1">
      <alignment horizontal="left"/>
    </xf>
    <xf numFmtId="0" fontId="14" fillId="0" borderId="17" xfId="0" applyFont="1" applyFill="1" applyBorder="1" applyAlignment="1">
      <alignment horizontal="left" vertical="center" wrapText="1"/>
    </xf>
    <xf numFmtId="42" fontId="14" fillId="0" borderId="16" xfId="2" applyNumberFormat="1" applyFont="1" applyFill="1" applyBorder="1" applyAlignment="1">
      <alignment horizontal="left" vertical="center" wrapText="1"/>
    </xf>
    <xf numFmtId="42" fontId="14" fillId="0" borderId="14" xfId="2" applyNumberFormat="1" applyFont="1" applyFill="1" applyBorder="1" applyAlignment="1">
      <alignment horizontal="left" vertical="center" wrapText="1"/>
    </xf>
    <xf numFmtId="42" fontId="8" fillId="0" borderId="14" xfId="2" applyNumberFormat="1" applyFont="1" applyFill="1" applyBorder="1" applyAlignment="1"/>
    <xf numFmtId="5" fontId="14" fillId="0" borderId="27" xfId="2" applyNumberFormat="1" applyFont="1" applyFill="1" applyBorder="1" applyAlignment="1"/>
    <xf numFmtId="5" fontId="8" fillId="0" borderId="27" xfId="2" applyNumberFormat="1" applyFont="1" applyFill="1" applyBorder="1" applyAlignment="1"/>
    <xf numFmtId="42" fontId="15" fillId="0" borderId="34" xfId="0" applyNumberFormat="1" applyFont="1" applyFill="1" applyBorder="1" applyAlignment="1">
      <alignment horizontal="left"/>
    </xf>
    <xf numFmtId="0" fontId="14" fillId="0" borderId="15" xfId="0" applyFont="1" applyFill="1" applyBorder="1" applyAlignment="1">
      <alignment horizontal="left" vertical="center" wrapText="1"/>
    </xf>
    <xf numFmtId="42" fontId="14" fillId="0" borderId="14" xfId="0" applyNumberFormat="1" applyFont="1" applyFill="1" applyBorder="1" applyProtection="1">
      <protection locked="0"/>
    </xf>
    <xf numFmtId="5" fontId="8" fillId="0" borderId="13" xfId="2" applyNumberFormat="1" applyFont="1" applyFill="1" applyBorder="1" applyAlignment="1"/>
    <xf numFmtId="0" fontId="8" fillId="0" borderId="29" xfId="0" applyFont="1" applyFill="1" applyBorder="1"/>
    <xf numFmtId="0" fontId="8" fillId="0" borderId="1" xfId="0" applyFont="1" applyFill="1" applyBorder="1"/>
    <xf numFmtId="0" fontId="14" fillId="0" borderId="0" xfId="0" applyFont="1" applyFill="1" applyBorder="1"/>
    <xf numFmtId="0" fontId="8" fillId="0" borderId="2" xfId="0" applyFont="1" applyFill="1" applyBorder="1"/>
    <xf numFmtId="42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/>
    <xf numFmtId="0" fontId="17" fillId="0" borderId="24" xfId="0" applyFont="1" applyFill="1" applyBorder="1"/>
    <xf numFmtId="0" fontId="17" fillId="0" borderId="7" xfId="0" applyFont="1" applyFill="1" applyBorder="1"/>
    <xf numFmtId="42" fontId="15" fillId="0" borderId="7" xfId="0" applyNumberFormat="1" applyFont="1" applyFill="1" applyBorder="1"/>
    <xf numFmtId="42" fontId="15" fillId="0" borderId="7" xfId="0" applyNumberFormat="1" applyFont="1" applyFill="1" applyBorder="1" applyAlignment="1">
      <alignment horizontal="left"/>
    </xf>
    <xf numFmtId="42" fontId="14" fillId="0" borderId="14" xfId="2" applyNumberFormat="1" applyFont="1" applyFill="1" applyBorder="1" applyAlignment="1"/>
    <xf numFmtId="0" fontId="15" fillId="0" borderId="3" xfId="0" applyFont="1" applyFill="1" applyBorder="1" applyAlignment="1">
      <alignment wrapText="1"/>
    </xf>
    <xf numFmtId="42" fontId="14" fillId="0" borderId="25" xfId="0" applyNumberFormat="1" applyFont="1" applyFill="1" applyBorder="1"/>
    <xf numFmtId="0" fontId="16" fillId="0" borderId="7" xfId="0" applyFont="1" applyFill="1" applyBorder="1"/>
    <xf numFmtId="0" fontId="15" fillId="0" borderId="0" xfId="0" applyFont="1" applyFill="1" applyAlignment="1">
      <alignment horizontal="centerContinuous" vertical="center" wrapText="1"/>
    </xf>
    <xf numFmtId="0" fontId="15" fillId="0" borderId="0" xfId="0" applyFont="1" applyFill="1" applyAlignment="1">
      <alignment horizontal="centerContinuous" vertical="center"/>
    </xf>
    <xf numFmtId="165" fontId="15" fillId="0" borderId="0" xfId="0" applyNumberFormat="1" applyFont="1" applyFill="1" applyAlignment="1">
      <alignment horizontal="centerContinuous" vertical="center"/>
    </xf>
    <xf numFmtId="165" fontId="17" fillId="0" borderId="0" xfId="0" applyNumberFormat="1" applyFont="1" applyFill="1" applyAlignment="1">
      <alignment horizontal="centerContinuous" vertical="center"/>
    </xf>
    <xf numFmtId="1" fontId="15" fillId="0" borderId="0" xfId="0" applyNumberFormat="1" applyFont="1" applyFill="1" applyAlignment="1">
      <alignment horizontal="centerContinuous" vertical="center"/>
    </xf>
    <xf numFmtId="0" fontId="14" fillId="0" borderId="0" xfId="0" applyFont="1" applyFill="1" applyAlignment="1">
      <alignment horizontal="centerContinuous"/>
    </xf>
    <xf numFmtId="0" fontId="15" fillId="0" borderId="20" xfId="0" applyFont="1" applyFill="1" applyBorder="1" applyAlignment="1">
      <alignment horizontal="center" wrapText="1"/>
    </xf>
    <xf numFmtId="0" fontId="16" fillId="0" borderId="20" xfId="3" applyFont="1" applyFill="1" applyBorder="1" applyAlignment="1" applyProtection="1">
      <alignment horizontal="center" wrapText="1"/>
      <protection locked="0"/>
    </xf>
    <xf numFmtId="0" fontId="17" fillId="0" borderId="20" xfId="0" applyFont="1" applyFill="1" applyBorder="1" applyAlignment="1" applyProtection="1">
      <alignment wrapText="1"/>
      <protection locked="0"/>
    </xf>
    <xf numFmtId="165" fontId="17" fillId="0" borderId="20" xfId="0" applyNumberFormat="1" applyFont="1" applyFill="1" applyBorder="1" applyAlignment="1">
      <alignment horizontal="center" wrapText="1"/>
    </xf>
    <xf numFmtId="42" fontId="8" fillId="0" borderId="31" xfId="2" applyNumberFormat="1" applyFont="1" applyFill="1" applyBorder="1" applyAlignment="1">
      <alignment horizontal="left"/>
    </xf>
    <xf numFmtId="42" fontId="8" fillId="0" borderId="14" xfId="3" applyNumberFormat="1" applyFont="1" applyFill="1" applyBorder="1" applyAlignment="1">
      <alignment horizontal="left"/>
    </xf>
    <xf numFmtId="0" fontId="8" fillId="0" borderId="33" xfId="0" applyFont="1" applyFill="1" applyBorder="1" applyAlignment="1">
      <alignment horizontal="center"/>
    </xf>
    <xf numFmtId="0" fontId="17" fillId="0" borderId="3" xfId="0" applyFont="1" applyFill="1" applyBorder="1"/>
    <xf numFmtId="5" fontId="8" fillId="0" borderId="33" xfId="2" applyNumberFormat="1" applyFont="1" applyFill="1" applyBorder="1" applyAlignment="1"/>
    <xf numFmtId="42" fontId="15" fillId="0" borderId="28" xfId="0" applyNumberFormat="1" applyFont="1" applyFill="1" applyBorder="1" applyAlignment="1">
      <alignment horizontal="left"/>
    </xf>
    <xf numFmtId="0" fontId="14" fillId="0" borderId="23" xfId="0" applyFont="1" applyFill="1" applyBorder="1"/>
    <xf numFmtId="0" fontId="15" fillId="0" borderId="0" xfId="0" applyFont="1" applyFill="1"/>
    <xf numFmtId="0" fontId="14" fillId="0" borderId="0" xfId="0" applyFont="1" applyFill="1" applyBorder="1" applyAlignment="1"/>
    <xf numFmtId="0" fontId="14" fillId="0" borderId="0" xfId="0" applyFont="1" applyFill="1" applyAlignment="1"/>
    <xf numFmtId="0" fontId="8" fillId="0" borderId="0" xfId="0" applyFont="1" applyFill="1" applyBorder="1" applyAlignment="1"/>
    <xf numFmtId="0" fontId="14" fillId="0" borderId="0" xfId="0" applyFont="1" applyFill="1" applyAlignment="1">
      <alignment horizontal="center"/>
    </xf>
    <xf numFmtId="165" fontId="14" fillId="0" borderId="0" xfId="0" applyNumberFormat="1" applyFont="1" applyFill="1"/>
    <xf numFmtId="165" fontId="8" fillId="0" borderId="0" xfId="0" applyNumberFormat="1" applyFont="1" applyFill="1"/>
    <xf numFmtId="1" fontId="14" fillId="0" borderId="0" xfId="0" applyNumberFormat="1" applyFont="1" applyFill="1"/>
    <xf numFmtId="42" fontId="14" fillId="0" borderId="0" xfId="2" applyNumberFormat="1" applyFont="1" applyFill="1"/>
    <xf numFmtId="0" fontId="14" fillId="0" borderId="0" xfId="0" applyFont="1" applyFill="1" applyAlignment="1">
      <alignment horizontal="centerContinuous" vertic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0" fontId="17" fillId="0" borderId="7" xfId="0" applyFont="1" applyFill="1" applyBorder="1" applyAlignment="1">
      <alignment horizontal="center"/>
    </xf>
    <xf numFmtId="5" fontId="15" fillId="0" borderId="7" xfId="0" applyNumberFormat="1" applyFont="1" applyFill="1" applyBorder="1" applyAlignment="1">
      <alignment vertical="center"/>
    </xf>
    <xf numFmtId="0" fontId="11" fillId="0" borderId="0" xfId="0" applyFont="1" applyFill="1"/>
    <xf numFmtId="0" fontId="8" fillId="0" borderId="0" xfId="0" applyFont="1" applyFill="1" applyBorder="1" applyAlignment="1">
      <alignment horizontal="left"/>
    </xf>
    <xf numFmtId="0" fontId="17" fillId="0" borderId="3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left"/>
    </xf>
    <xf numFmtId="42" fontId="15" fillId="0" borderId="3" xfId="0" applyNumberFormat="1" applyFont="1" applyFill="1" applyBorder="1"/>
    <xf numFmtId="166" fontId="15" fillId="0" borderId="3" xfId="0" applyNumberFormat="1" applyFont="1" applyFill="1" applyBorder="1"/>
    <xf numFmtId="0" fontId="14" fillId="0" borderId="0" xfId="0" applyFont="1" applyFill="1" applyAlignment="1">
      <alignment horizontal="left"/>
    </xf>
    <xf numFmtId="5" fontId="14" fillId="0" borderId="0" xfId="2" applyNumberFormat="1" applyFont="1" applyFill="1"/>
    <xf numFmtId="5" fontId="15" fillId="0" borderId="7" xfId="0" applyNumberFormat="1" applyFont="1" applyFill="1" applyBorder="1"/>
    <xf numFmtId="42" fontId="14" fillId="0" borderId="0" xfId="0" applyNumberFormat="1" applyFont="1" applyFill="1"/>
    <xf numFmtId="0" fontId="8" fillId="0" borderId="0" xfId="0" applyFont="1" applyFill="1" applyAlignment="1">
      <alignment horizontal="center"/>
    </xf>
    <xf numFmtId="42" fontId="14" fillId="0" borderId="1" xfId="0" applyNumberFormat="1" applyFont="1" applyFill="1" applyBorder="1"/>
    <xf numFmtId="5" fontId="14" fillId="0" borderId="1" xfId="0" applyNumberFormat="1" applyFont="1" applyFill="1" applyBorder="1" applyAlignment="1">
      <alignment vertical="center"/>
    </xf>
    <xf numFmtId="5" fontId="14" fillId="0" borderId="0" xfId="0" applyNumberFormat="1" applyFont="1" applyFill="1" applyBorder="1"/>
    <xf numFmtId="165" fontId="14" fillId="0" borderId="0" xfId="2" applyNumberFormat="1" applyFont="1" applyFill="1"/>
    <xf numFmtId="166" fontId="14" fillId="0" borderId="0" xfId="2" applyNumberFormat="1" applyFont="1" applyFill="1" applyAlignment="1">
      <alignment horizontal="right" vertical="center" wrapText="1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wrapText="1"/>
    </xf>
    <xf numFmtId="0" fontId="14" fillId="0" borderId="0" xfId="0" applyFont="1" applyFill="1" applyBorder="1" applyAlignment="1" applyProtection="1"/>
    <xf numFmtId="0" fontId="14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>
      <alignment horizontal="left"/>
    </xf>
    <xf numFmtId="44" fontId="15" fillId="0" borderId="0" xfId="2" applyFont="1" applyFill="1" applyAlignment="1">
      <alignment horizontal="centerContinuous" vertical="center"/>
    </xf>
    <xf numFmtId="14" fontId="14" fillId="0" borderId="0" xfId="0" applyNumberFormat="1" applyFont="1" applyFill="1"/>
    <xf numFmtId="164" fontId="14" fillId="0" borderId="0" xfId="0" applyNumberFormat="1" applyFont="1" applyFill="1"/>
    <xf numFmtId="0" fontId="14" fillId="0" borderId="1" xfId="0" applyFont="1" applyFill="1" applyBorder="1" applyAlignment="1">
      <alignment horizontal="center"/>
    </xf>
    <xf numFmtId="42" fontId="14" fillId="0" borderId="0" xfId="2" applyNumberFormat="1" applyFont="1" applyFill="1" applyBorder="1"/>
    <xf numFmtId="0" fontId="14" fillId="0" borderId="0" xfId="0" applyFont="1" applyFill="1" applyBorder="1" applyAlignment="1">
      <alignment horizontal="center" vertical="center"/>
    </xf>
    <xf numFmtId="42" fontId="14" fillId="0" borderId="0" xfId="2" applyNumberFormat="1" applyFont="1" applyFill="1" applyBorder="1" applyAlignment="1">
      <alignment vertical="center"/>
    </xf>
    <xf numFmtId="0" fontId="15" fillId="0" borderId="7" xfId="0" applyFont="1" applyFill="1" applyBorder="1" applyAlignment="1"/>
    <xf numFmtId="5" fontId="15" fillId="0" borderId="7" xfId="0" applyNumberFormat="1" applyFont="1" applyFill="1" applyBorder="1" applyAlignment="1"/>
    <xf numFmtId="0" fontId="8" fillId="0" borderId="1" xfId="0" applyFont="1" applyFill="1" applyBorder="1" applyAlignment="1">
      <alignment horizontal="left" vertical="center"/>
    </xf>
    <xf numFmtId="0" fontId="8" fillId="0" borderId="0" xfId="0" applyFont="1" applyFill="1"/>
    <xf numFmtId="5" fontId="14" fillId="0" borderId="0" xfId="2" applyNumberFormat="1" applyFont="1" applyFill="1" applyBorder="1" applyAlignment="1"/>
    <xf numFmtId="42" fontId="14" fillId="0" borderId="25" xfId="2" applyNumberFormat="1" applyFont="1" applyFill="1" applyBorder="1"/>
    <xf numFmtId="0" fontId="16" fillId="0" borderId="7" xfId="3" applyFont="1" applyFill="1" applyBorder="1" applyAlignment="1"/>
    <xf numFmtId="0" fontId="8" fillId="0" borderId="7" xfId="0" applyFont="1" applyFill="1" applyBorder="1" applyAlignment="1">
      <alignment horizontal="center"/>
    </xf>
    <xf numFmtId="0" fontId="14" fillId="0" borderId="22" xfId="0" applyFont="1" applyFill="1" applyBorder="1"/>
    <xf numFmtId="0" fontId="14" fillId="0" borderId="21" xfId="0" applyFont="1" applyFill="1" applyBorder="1"/>
    <xf numFmtId="44" fontId="14" fillId="0" borderId="0" xfId="2" applyFont="1" applyFill="1"/>
    <xf numFmtId="0" fontId="14" fillId="0" borderId="2" xfId="0" applyFont="1" applyFill="1" applyBorder="1" applyAlignment="1">
      <alignment horizontal="center"/>
    </xf>
    <xf numFmtId="42" fontId="14" fillId="0" borderId="0" xfId="2" applyNumberFormat="1" applyFont="1" applyFill="1" applyBorder="1" applyAlignment="1"/>
    <xf numFmtId="42" fontId="15" fillId="0" borderId="0" xfId="0" applyNumberFormat="1" applyFont="1" applyFill="1" applyAlignment="1">
      <alignment horizontal="centerContinuous" vertical="center"/>
    </xf>
    <xf numFmtId="164" fontId="15" fillId="0" borderId="0" xfId="1" applyNumberFormat="1" applyFont="1" applyFill="1" applyAlignment="1">
      <alignment horizontal="centerContinuous" vertical="center"/>
    </xf>
    <xf numFmtId="0" fontId="17" fillId="0" borderId="20" xfId="0" applyFont="1" applyFill="1" applyBorder="1" applyAlignment="1">
      <alignment horizontal="center" wrapText="1"/>
    </xf>
    <xf numFmtId="0" fontId="15" fillId="0" borderId="20" xfId="0" applyNumberFormat="1" applyFont="1" applyFill="1" applyBorder="1" applyAlignment="1">
      <alignment horizontal="center" wrapText="1"/>
    </xf>
    <xf numFmtId="0" fontId="17" fillId="0" borderId="20" xfId="0" applyFont="1" applyFill="1" applyBorder="1" applyAlignment="1">
      <alignment horizontal="center"/>
    </xf>
    <xf numFmtId="0" fontId="16" fillId="0" borderId="20" xfId="3" applyFont="1" applyFill="1" applyBorder="1" applyAlignment="1">
      <alignment horizontal="center" wrapText="1"/>
    </xf>
    <xf numFmtId="0" fontId="8" fillId="0" borderId="20" xfId="0" applyFont="1" applyFill="1" applyBorder="1" applyAlignment="1"/>
    <xf numFmtId="0" fontId="8" fillId="0" borderId="20" xfId="0" applyFont="1" applyFill="1" applyBorder="1" applyAlignment="1">
      <alignment wrapText="1"/>
    </xf>
    <xf numFmtId="0" fontId="17" fillId="0" borderId="26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164" fontId="8" fillId="0" borderId="0" xfId="1" applyNumberFormat="1" applyFont="1" applyFill="1" applyBorder="1"/>
    <xf numFmtId="0" fontId="17" fillId="0" borderId="2" xfId="0" applyFont="1" applyFill="1" applyBorder="1" applyAlignment="1"/>
    <xf numFmtId="0" fontId="15" fillId="0" borderId="6" xfId="0" applyFont="1" applyFill="1" applyBorder="1" applyAlignment="1">
      <alignment horizontal="center" wrapText="1"/>
    </xf>
    <xf numFmtId="0" fontId="17" fillId="0" borderId="26" xfId="0" applyFont="1" applyFill="1" applyBorder="1" applyAlignment="1">
      <alignment horizontal="center" wrapText="1"/>
    </xf>
    <xf numFmtId="0" fontId="15" fillId="0" borderId="26" xfId="0" applyNumberFormat="1" applyFont="1" applyFill="1" applyBorder="1" applyAlignment="1">
      <alignment horizontal="center" wrapText="1"/>
    </xf>
    <xf numFmtId="0" fontId="17" fillId="0" borderId="26" xfId="0" applyFont="1" applyFill="1" applyBorder="1" applyAlignment="1">
      <alignment horizontal="center"/>
    </xf>
    <xf numFmtId="0" fontId="8" fillId="0" borderId="26" xfId="0" applyFont="1" applyFill="1" applyBorder="1" applyAlignment="1"/>
    <xf numFmtId="0" fontId="8" fillId="0" borderId="26" xfId="0" applyFont="1" applyFill="1" applyBorder="1" applyAlignment="1">
      <alignment wrapText="1"/>
    </xf>
    <xf numFmtId="42" fontId="22" fillId="0" borderId="0" xfId="3" applyNumberFormat="1" applyFont="1" applyFill="1" applyBorder="1"/>
    <xf numFmtId="0" fontId="15" fillId="0" borderId="24" xfId="0" applyFont="1" applyFill="1" applyBorder="1" applyAlignment="1">
      <alignment horizontal="left"/>
    </xf>
    <xf numFmtId="166" fontId="14" fillId="0" borderId="0" xfId="0" applyNumberFormat="1" applyFont="1" applyFill="1" applyBorder="1" applyAlignment="1"/>
    <xf numFmtId="166" fontId="8" fillId="0" borderId="0" xfId="0" applyNumberFormat="1" applyFont="1" applyFill="1" applyAlignment="1"/>
    <xf numFmtId="166" fontId="15" fillId="0" borderId="7" xfId="0" applyNumberFormat="1" applyFont="1" applyFill="1" applyBorder="1" applyAlignment="1"/>
    <xf numFmtId="166" fontId="17" fillId="0" borderId="7" xfId="0" applyNumberFormat="1" applyFont="1" applyFill="1" applyBorder="1" applyAlignment="1"/>
    <xf numFmtId="42" fontId="14" fillId="0" borderId="0" xfId="0" applyNumberFormat="1" applyFont="1" applyFill="1" applyBorder="1" applyAlignment="1">
      <alignment horizontal="center"/>
    </xf>
    <xf numFmtId="164" fontId="14" fillId="0" borderId="0" xfId="1" applyNumberFormat="1" applyFont="1" applyFill="1" applyBorder="1"/>
    <xf numFmtId="0" fontId="14" fillId="0" borderId="2" xfId="0" applyFont="1" applyFill="1" applyBorder="1" applyAlignment="1">
      <alignment horizontal="left" wrapText="1"/>
    </xf>
    <xf numFmtId="164" fontId="14" fillId="0" borderId="0" xfId="1" applyNumberFormat="1" applyFont="1" applyFill="1"/>
    <xf numFmtId="0" fontId="14" fillId="0" borderId="2" xfId="0" applyFont="1" applyFill="1" applyBorder="1" applyAlignment="1">
      <alignment horizontal="left"/>
    </xf>
    <xf numFmtId="0" fontId="21" fillId="0" borderId="2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14" fillId="0" borderId="5" xfId="0" applyFont="1" applyFill="1" applyBorder="1"/>
    <xf numFmtId="0" fontId="14" fillId="0" borderId="0" xfId="0" applyFont="1" applyFill="1" applyBorder="1" applyAlignment="1">
      <alignment horizontal="center" wrapText="1"/>
    </xf>
    <xf numFmtId="0" fontId="16" fillId="0" borderId="7" xfId="0" applyFont="1" applyFill="1" applyBorder="1" applyAlignment="1"/>
    <xf numFmtId="165" fontId="15" fillId="0" borderId="0" xfId="2" applyNumberFormat="1" applyFont="1" applyFill="1" applyAlignment="1">
      <alignment horizontal="centerContinuous" vertical="center" wrapText="1"/>
    </xf>
    <xf numFmtId="0" fontId="16" fillId="0" borderId="26" xfId="0" applyFont="1" applyFill="1" applyBorder="1" applyAlignment="1">
      <alignment horizontal="center" wrapText="1"/>
    </xf>
    <xf numFmtId="0" fontId="15" fillId="0" borderId="4" xfId="2" applyNumberFormat="1" applyFont="1" applyFill="1" applyBorder="1" applyAlignment="1">
      <alignment horizontal="center" wrapText="1"/>
    </xf>
    <xf numFmtId="0" fontId="16" fillId="0" borderId="26" xfId="3" applyFont="1" applyFill="1" applyBorder="1" applyAlignment="1">
      <alignment horizontal="center" wrapText="1"/>
    </xf>
    <xf numFmtId="0" fontId="17" fillId="0" borderId="26" xfId="3" applyFont="1" applyFill="1" applyBorder="1" applyAlignment="1">
      <alignment horizontal="center" wrapText="1"/>
    </xf>
    <xf numFmtId="42" fontId="15" fillId="0" borderId="26" xfId="2" applyNumberFormat="1" applyFont="1" applyFill="1" applyBorder="1" applyAlignment="1">
      <alignment horizontal="center" wrapText="1"/>
    </xf>
    <xf numFmtId="0" fontId="14" fillId="0" borderId="0" xfId="0" applyFont="1" applyFill="1" applyAlignment="1">
      <alignment wrapText="1"/>
    </xf>
    <xf numFmtId="5" fontId="14" fillId="0" borderId="0" xfId="0" applyNumberFormat="1" applyFont="1" applyFill="1"/>
    <xf numFmtId="0" fontId="8" fillId="0" borderId="0" xfId="0" applyNumberFormat="1" applyFont="1" applyFill="1"/>
    <xf numFmtId="166" fontId="14" fillId="0" borderId="0" xfId="0" applyNumberFormat="1" applyFont="1" applyFill="1"/>
    <xf numFmtId="0" fontId="15" fillId="0" borderId="3" xfId="0" applyFont="1" applyFill="1" applyBorder="1" applyAlignment="1">
      <alignment horizontal="left"/>
    </xf>
    <xf numFmtId="0" fontId="8" fillId="0" borderId="3" xfId="0" applyNumberFormat="1" applyFont="1" applyFill="1" applyBorder="1"/>
    <xf numFmtId="5" fontId="15" fillId="0" borderId="3" xfId="0" applyNumberFormat="1" applyFont="1" applyFill="1" applyBorder="1"/>
    <xf numFmtId="0" fontId="17" fillId="0" borderId="3" xfId="0" applyNumberFormat="1" applyFont="1" applyFill="1" applyBorder="1"/>
    <xf numFmtId="0" fontId="15" fillId="0" borderId="3" xfId="0" applyFont="1" applyFill="1" applyBorder="1" applyAlignment="1"/>
    <xf numFmtId="0" fontId="8" fillId="0" borderId="0" xfId="0" applyNumberFormat="1" applyFont="1" applyFill="1" applyBorder="1"/>
    <xf numFmtId="166" fontId="14" fillId="0" borderId="0" xfId="0" applyNumberFormat="1" applyFont="1" applyFill="1" applyBorder="1"/>
    <xf numFmtId="0" fontId="22" fillId="0" borderId="2" xfId="0" applyFont="1" applyFill="1" applyBorder="1" applyAlignment="1">
      <alignment horizontal="left"/>
    </xf>
    <xf numFmtId="0" fontId="22" fillId="0" borderId="0" xfId="0" applyFont="1" applyFill="1" applyAlignment="1">
      <alignment horizontal="center"/>
    </xf>
    <xf numFmtId="42" fontId="14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22" fillId="0" borderId="0" xfId="0" applyFont="1" applyFill="1" applyAlignment="1">
      <alignment horizontal="right"/>
    </xf>
    <xf numFmtId="0" fontId="14" fillId="0" borderId="0" xfId="0" applyFont="1" applyFill="1" applyAlignment="1">
      <alignment horizontal="right"/>
    </xf>
    <xf numFmtId="0" fontId="15" fillId="0" borderId="0" xfId="0" applyFont="1" applyFill="1" applyAlignment="1">
      <alignment wrapText="1"/>
    </xf>
    <xf numFmtId="0" fontId="15" fillId="0" borderId="0" xfId="0" applyFont="1" applyFill="1" applyAlignment="1">
      <alignment horizontal="left"/>
    </xf>
    <xf numFmtId="165" fontId="15" fillId="0" borderId="0" xfId="2" applyNumberFormat="1" applyFont="1" applyFill="1" applyAlignment="1">
      <alignment horizontal="right"/>
    </xf>
    <xf numFmtId="165" fontId="15" fillId="0" borderId="0" xfId="2" applyNumberFormat="1" applyFont="1" applyFill="1" applyAlignment="1"/>
    <xf numFmtId="165" fontId="15" fillId="0" borderId="3" xfId="0" applyNumberFormat="1" applyFont="1" applyFill="1" applyBorder="1"/>
    <xf numFmtId="165" fontId="8" fillId="0" borderId="3" xfId="0" applyNumberFormat="1" applyFont="1" applyFill="1" applyBorder="1"/>
    <xf numFmtId="42" fontId="14" fillId="0" borderId="0" xfId="2" applyNumberFormat="1" applyFont="1" applyFill="1" applyBorder="1" applyAlignment="1">
      <alignment horizontal="center" wrapText="1"/>
    </xf>
    <xf numFmtId="0" fontId="14" fillId="0" borderId="0" xfId="0" applyNumberFormat="1" applyFont="1" applyFill="1"/>
    <xf numFmtId="165" fontId="15" fillId="0" borderId="0" xfId="2" applyNumberFormat="1" applyFont="1" applyFill="1" applyAlignment="1">
      <alignment horizontal="centerContinuous" vertical="center"/>
    </xf>
    <xf numFmtId="165" fontId="15" fillId="0" borderId="20" xfId="2" applyNumberFormat="1" applyFont="1" applyFill="1" applyBorder="1" applyAlignment="1">
      <alignment horizontal="center" wrapText="1"/>
    </xf>
    <xf numFmtId="0" fontId="17" fillId="0" borderId="20" xfId="2" applyNumberFormat="1" applyFont="1" applyFill="1" applyBorder="1" applyAlignment="1">
      <alignment horizontal="center"/>
    </xf>
    <xf numFmtId="42" fontId="15" fillId="0" borderId="20" xfId="2" applyNumberFormat="1" applyFont="1" applyFill="1" applyBorder="1" applyAlignment="1">
      <alignment horizontal="center" wrapText="1"/>
    </xf>
    <xf numFmtId="0" fontId="8" fillId="0" borderId="0" xfId="2" applyNumberFormat="1" applyFont="1" applyFill="1" applyAlignment="1"/>
    <xf numFmtId="0" fontId="17" fillId="0" borderId="3" xfId="0" applyFont="1" applyFill="1" applyBorder="1" applyAlignment="1">
      <alignment wrapText="1"/>
    </xf>
    <xf numFmtId="0" fontId="19" fillId="0" borderId="0" xfId="0" applyFont="1" applyFill="1"/>
    <xf numFmtId="165" fontId="15" fillId="0" borderId="26" xfId="2" applyNumberFormat="1" applyFont="1" applyFill="1" applyBorder="1" applyAlignment="1">
      <alignment horizontal="center" wrapText="1"/>
    </xf>
    <xf numFmtId="0" fontId="15" fillId="0" borderId="26" xfId="2" applyNumberFormat="1" applyFont="1" applyFill="1" applyBorder="1" applyAlignment="1">
      <alignment horizontal="center" wrapText="1"/>
    </xf>
    <xf numFmtId="0" fontId="17" fillId="0" borderId="26" xfId="2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wrapText="1"/>
    </xf>
    <xf numFmtId="0" fontId="15" fillId="0" borderId="3" xfId="0" applyFont="1" applyFill="1" applyBorder="1" applyAlignment="1">
      <alignment horizontal="center"/>
    </xf>
    <xf numFmtId="42" fontId="8" fillId="0" borderId="0" xfId="0" applyNumberFormat="1" applyFont="1" applyFill="1"/>
    <xf numFmtId="165" fontId="14" fillId="0" borderId="0" xfId="0" applyNumberFormat="1" applyFont="1" applyFill="1" applyBorder="1"/>
    <xf numFmtId="0" fontId="17" fillId="0" borderId="26" xfId="2" applyNumberFormat="1" applyFont="1" applyFill="1" applyBorder="1" applyAlignment="1">
      <alignment horizontal="center"/>
    </xf>
    <xf numFmtId="42" fontId="8" fillId="0" borderId="0" xfId="2" applyNumberFormat="1" applyFont="1" applyFill="1" applyAlignment="1">
      <alignment horizontal="left"/>
    </xf>
    <xf numFmtId="0" fontId="17" fillId="0" borderId="3" xfId="0" applyNumberFormat="1" applyFont="1" applyFill="1" applyBorder="1" applyAlignment="1">
      <alignment horizontal="left"/>
    </xf>
    <xf numFmtId="0" fontId="11" fillId="0" borderId="0" xfId="0" applyFont="1" applyFill="1" applyAlignment="1"/>
    <xf numFmtId="0" fontId="11" fillId="0" borderId="0" xfId="0" applyFont="1" applyFill="1" applyAlignment="1">
      <alignment horizontal="right"/>
    </xf>
    <xf numFmtId="0" fontId="8" fillId="0" borderId="0" xfId="0" applyNumberFormat="1" applyFont="1" applyFill="1" applyAlignment="1">
      <alignment horizontal="right"/>
    </xf>
    <xf numFmtId="0" fontId="14" fillId="0" borderId="0" xfId="0" applyNumberFormat="1" applyFont="1" applyFill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17" fillId="0" borderId="26" xfId="2" applyNumberFormat="1" applyFont="1" applyFill="1" applyBorder="1" applyAlignment="1">
      <alignment horizontal="left"/>
    </xf>
    <xf numFmtId="0" fontId="17" fillId="0" borderId="1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center"/>
    </xf>
    <xf numFmtId="42" fontId="15" fillId="0" borderId="0" xfId="0" applyNumberFormat="1" applyFont="1" applyFill="1" applyBorder="1" applyAlignment="1">
      <alignment horizontal="right"/>
    </xf>
    <xf numFmtId="0" fontId="17" fillId="0" borderId="0" xfId="0" applyNumberFormat="1" applyFont="1" applyFill="1" applyBorder="1" applyAlignment="1">
      <alignment horizontal="right"/>
    </xf>
    <xf numFmtId="5" fontId="15" fillId="0" borderId="0" xfId="0" applyNumberFormat="1" applyFont="1" applyFill="1" applyBorder="1" applyAlignment="1">
      <alignment horizontal="right"/>
    </xf>
    <xf numFmtId="0" fontId="15" fillId="0" borderId="3" xfId="0" applyFont="1" applyFill="1" applyBorder="1"/>
    <xf numFmtId="165" fontId="15" fillId="0" borderId="0" xfId="2" applyNumberFormat="1" applyFont="1" applyFill="1" applyAlignment="1">
      <alignment horizontal="center"/>
    </xf>
    <xf numFmtId="0" fontId="14" fillId="0" borderId="2" xfId="0" applyFont="1" applyFill="1" applyBorder="1"/>
    <xf numFmtId="0" fontId="15" fillId="0" borderId="24" xfId="0" applyFont="1" applyFill="1" applyBorder="1"/>
    <xf numFmtId="5" fontId="14" fillId="0" borderId="12" xfId="2" applyNumberFormat="1" applyFont="1" applyFill="1" applyBorder="1" applyAlignment="1"/>
    <xf numFmtId="5" fontId="14" fillId="0" borderId="9" xfId="2" applyNumberFormat="1" applyFont="1" applyFill="1" applyBorder="1" applyAlignment="1"/>
    <xf numFmtId="42" fontId="14" fillId="0" borderId="12" xfId="2" applyNumberFormat="1" applyFont="1" applyFill="1" applyBorder="1" applyAlignment="1"/>
    <xf numFmtId="0" fontId="14" fillId="0" borderId="29" xfId="0" applyFont="1" applyFill="1" applyBorder="1"/>
    <xf numFmtId="0" fontId="15" fillId="0" borderId="20" xfId="0" applyFont="1" applyFill="1" applyBorder="1" applyAlignment="1" applyProtection="1">
      <alignment horizontal="center" wrapText="1"/>
      <protection locked="0"/>
    </xf>
    <xf numFmtId="0" fontId="8" fillId="0" borderId="24" xfId="0" applyFont="1" applyFill="1" applyBorder="1"/>
    <xf numFmtId="42" fontId="17" fillId="0" borderId="28" xfId="0" applyNumberFormat="1" applyFont="1" applyFill="1" applyBorder="1" applyAlignment="1">
      <alignment horizontal="left"/>
    </xf>
    <xf numFmtId="5" fontId="15" fillId="0" borderId="35" xfId="2" applyNumberFormat="1" applyFont="1" applyFill="1" applyBorder="1" applyAlignment="1"/>
    <xf numFmtId="42" fontId="15" fillId="0" borderId="8" xfId="0" applyNumberFormat="1" applyFont="1" applyFill="1" applyBorder="1" applyAlignment="1">
      <alignment horizontal="left"/>
    </xf>
    <xf numFmtId="5" fontId="15" fillId="0" borderId="8" xfId="2" applyNumberFormat="1" applyFont="1" applyFill="1" applyBorder="1" applyAlignment="1"/>
    <xf numFmtId="42" fontId="17" fillId="0" borderId="8" xfId="0" applyNumberFormat="1" applyFont="1" applyFill="1" applyBorder="1" applyAlignment="1">
      <alignment horizontal="left"/>
    </xf>
    <xf numFmtId="0" fontId="8" fillId="0" borderId="31" xfId="0" applyFont="1" applyFill="1" applyBorder="1"/>
    <xf numFmtId="5" fontId="14" fillId="0" borderId="31" xfId="0" applyNumberFormat="1" applyFont="1" applyFill="1" applyBorder="1" applyAlignment="1"/>
    <xf numFmtId="42" fontId="8" fillId="0" borderId="31" xfId="0" applyNumberFormat="1" applyFont="1" applyFill="1" applyBorder="1" applyAlignment="1">
      <alignment horizontal="left"/>
    </xf>
    <xf numFmtId="42" fontId="14" fillId="0" borderId="31" xfId="0" applyNumberFormat="1" applyFont="1" applyFill="1" applyBorder="1"/>
    <xf numFmtId="42" fontId="14" fillId="0" borderId="36" xfId="0" applyNumberFormat="1" applyFont="1" applyFill="1" applyBorder="1" applyAlignment="1">
      <alignment horizontal="left"/>
    </xf>
    <xf numFmtId="42" fontId="14" fillId="0" borderId="14" xfId="0" applyNumberFormat="1" applyFont="1" applyFill="1" applyBorder="1"/>
    <xf numFmtId="0" fontId="8" fillId="0" borderId="14" xfId="0" applyFont="1" applyFill="1" applyBorder="1"/>
    <xf numFmtId="5" fontId="14" fillId="0" borderId="14" xfId="0" applyNumberFormat="1" applyFont="1" applyFill="1" applyBorder="1" applyAlignment="1"/>
    <xf numFmtId="42" fontId="8" fillId="0" borderId="14" xfId="0" applyNumberFormat="1" applyFont="1" applyFill="1" applyBorder="1"/>
    <xf numFmtId="42" fontId="14" fillId="0" borderId="12" xfId="0" applyNumberFormat="1" applyFont="1" applyFill="1" applyBorder="1"/>
    <xf numFmtId="5" fontId="14" fillId="0" borderId="12" xfId="0" applyNumberFormat="1" applyFont="1" applyFill="1" applyBorder="1" applyAlignment="1"/>
    <xf numFmtId="42" fontId="14" fillId="0" borderId="14" xfId="0" applyNumberFormat="1" applyFont="1" applyFill="1" applyBorder="1" applyAlignment="1">
      <alignment horizontal="left" vertical="center" wrapText="1"/>
    </xf>
    <xf numFmtId="42" fontId="8" fillId="0" borderId="14" xfId="0" applyNumberFormat="1" applyFont="1" applyFill="1" applyBorder="1" applyAlignment="1"/>
    <xf numFmtId="42" fontId="14" fillId="0" borderId="33" xfId="0" applyNumberFormat="1" applyFont="1" applyFill="1" applyBorder="1" applyProtection="1">
      <protection locked="0"/>
    </xf>
    <xf numFmtId="0" fontId="8" fillId="0" borderId="33" xfId="0" applyFont="1" applyFill="1" applyBorder="1"/>
    <xf numFmtId="5" fontId="14" fillId="0" borderId="33" xfId="0" applyNumberFormat="1" applyFont="1" applyFill="1" applyBorder="1" applyAlignment="1"/>
    <xf numFmtId="42" fontId="8" fillId="0" borderId="33" xfId="0" applyNumberFormat="1" applyFont="1" applyFill="1" applyBorder="1" applyAlignment="1"/>
    <xf numFmtId="42" fontId="14" fillId="0" borderId="37" xfId="0" applyNumberFormat="1" applyFont="1" applyFill="1" applyBorder="1" applyProtection="1">
      <protection locked="0"/>
    </xf>
    <xf numFmtId="42" fontId="15" fillId="0" borderId="11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5" fontId="14" fillId="0" borderId="0" xfId="2" applyNumberFormat="1" applyFont="1" applyFill="1" applyBorder="1"/>
    <xf numFmtId="0" fontId="17" fillId="0" borderId="1" xfId="0" applyFont="1" applyFill="1" applyBorder="1" applyAlignment="1">
      <alignment horizontal="center"/>
    </xf>
    <xf numFmtId="5" fontId="15" fillId="0" borderId="1" xfId="0" applyNumberFormat="1" applyFont="1" applyFill="1" applyBorder="1"/>
    <xf numFmtId="0" fontId="21" fillId="0" borderId="0" xfId="0" applyFont="1"/>
    <xf numFmtId="42" fontId="22" fillId="0" borderId="13" xfId="3" applyNumberFormat="1" applyFont="1" applyFill="1" applyBorder="1" applyProtection="1">
      <protection locked="0"/>
    </xf>
    <xf numFmtId="0" fontId="15" fillId="0" borderId="20" xfId="2" applyNumberFormat="1" applyFont="1" applyFill="1" applyBorder="1" applyAlignment="1">
      <alignment horizontal="center" wrapText="1"/>
    </xf>
    <xf numFmtId="0" fontId="16" fillId="0" borderId="3" xfId="3" applyFont="1" applyFill="1" applyBorder="1" applyAlignment="1">
      <alignment wrapText="1"/>
    </xf>
    <xf numFmtId="0" fontId="15" fillId="0" borderId="0" xfId="0" applyFont="1" applyFill="1" applyBorder="1" applyAlignment="1">
      <alignment horizontal="centerContinuous" vertical="center"/>
    </xf>
    <xf numFmtId="0" fontId="8" fillId="0" borderId="0" xfId="0" applyFont="1" applyFill="1" applyAlignment="1"/>
    <xf numFmtId="42" fontId="14" fillId="0" borderId="0" xfId="2" applyNumberFormat="1" applyFont="1" applyFill="1" applyAlignment="1">
      <alignment horizontal="right"/>
    </xf>
    <xf numFmtId="5" fontId="14" fillId="0" borderId="0" xfId="2" applyNumberFormat="1" applyFont="1" applyFill="1" applyAlignment="1">
      <alignment horizontal="right"/>
    </xf>
    <xf numFmtId="0" fontId="14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5" fontId="14" fillId="0" borderId="1" xfId="0" applyNumberFormat="1" applyFont="1" applyFill="1" applyBorder="1"/>
    <xf numFmtId="0" fontId="24" fillId="0" borderId="3" xfId="0" applyFont="1" applyFill="1" applyBorder="1" applyAlignment="1"/>
    <xf numFmtId="0" fontId="25" fillId="0" borderId="3" xfId="0" applyNumberFormat="1" applyFont="1" applyFill="1" applyBorder="1"/>
    <xf numFmtId="42" fontId="24" fillId="0" borderId="3" xfId="0" applyNumberFormat="1" applyFont="1" applyFill="1" applyBorder="1"/>
    <xf numFmtId="0" fontId="14" fillId="0" borderId="1" xfId="0" applyFont="1" applyFill="1" applyBorder="1" applyAlignment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3603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name val="Verdana"/>
        <scheme val="none"/>
      </font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4" formatCode="_(* #,##0_);_(* \(#,##0\);_(* &quot;-&quot;??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name val="Verdana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sz val="12"/>
        <name val="Verdana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sz val="12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z val="12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name val="Verdana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3420382</xdr:colOff>
      <xdr:row>5</xdr:row>
      <xdr:rowOff>144133</xdr:rowOff>
    </xdr:from>
    <xdr:to>
      <xdr:col>0</xdr:col>
      <xdr:colOff>6620782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382" y="244918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99" name="localgeneralfund" displayName="localgeneralfund" ref="A2:M6" totalsRowCount="1" headerRowDxfId="3602" dataDxfId="3600" totalsRowDxfId="3598" headerRowBorderDxfId="3601" tableBorderDxfId="3599" totalsRowBorderDxfId="3597">
  <autoFilter ref="A2:M5"/>
  <tableColumns count="13">
    <tableColumn id="1" name="Program Category_x000a_ and Fund" totalsRowLabel="Local Agencies-General Fund Total" dataDxfId="3596" totalsRowDxfId="145"/>
    <tableColumn id="2" name="Appropriation_x000a_Number" totalsRowLabel="N/A" dataDxfId="3595" totalsRowDxfId="144"/>
    <tableColumn id="3" name="Legal_x000a_Reference_x000a_(Ch./Year)" totalsRowLabel="N/A" dataDxfId="3594" totalsRowDxfId="143"/>
    <tableColumn id="4" name="Fiscal Year of_x000a_Claims Paid" totalsRowLabel="N/A" dataDxfId="3593" totalsRowDxfId="142"/>
    <tableColumn id="5" name="Reversion Date" totalsRowLabel="N/A" dataDxfId="3592" totalsRowDxfId="141"/>
    <tableColumn id="6" name="Original_x000a_Appropriation_x000a_Amount" totalsRowFunction="sum" dataDxfId="3591" totalsRowDxfId="140" dataCellStyle="Currency"/>
    <tableColumn id="7" name="Appropriation Balances 1" totalsRowFunction="sum" dataDxfId="3590" totalsRowDxfId="139" dataCellStyle="Currency"/>
    <tableColumn id="8" name="Comment: As of 4/1/2021, except for the Budget Act of 2021 appropriations as of 7/1/2021." totalsRowLabel="N/A" dataDxfId="3589" totalsRowDxfId="138" dataCellStyle="Currency"/>
    <tableColumn id="9" name="Budget Adjustments" totalsRowFunction="sum" dataDxfId="3588" totalsRowDxfId="137" dataCellStyle="Currency"/>
    <tableColumn id="10" name="N/A" totalsRowLabel="N/A" dataDxfId="3587" totalsRowDxfId="136" dataCellStyle="Currency"/>
    <tableColumn id="11" name="Add: Receipts_x000a_and Recovered_x000a_Amounts" totalsRowFunction="sum" dataDxfId="3586" totalsRowDxfId="135" dataCellStyle="Currency"/>
    <tableColumn id="12" name="Less: Mandated Program Payments, Offsets, and Interest (see Schedule A1)" totalsRowFunction="sum" dataDxfId="3585" totalsRowDxfId="134" dataCellStyle="Currency"/>
    <tableColumn id="13" name="Appropriation_x000a_Balances_x000a_as of 4/1/2023" totalsRowFunction="sum" dataDxfId="3584" totalsRowDxfId="133">
      <calculatedColumnFormula>G3+K3-L3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For Local Agencies-General Fund."/>
    </ext>
  </extLst>
</table>
</file>

<file path=xl/tables/table10.xml><?xml version="1.0" encoding="utf-8"?>
<table xmlns="http://schemas.openxmlformats.org/spreadsheetml/2006/main" id="120" name="localgrandtotala1" displayName="localgrandtotala1" ref="A46:I50" totalsRowCount="1" headerRowDxfId="3373" dataDxfId="3371" totalsRowDxfId="3369" headerRowBorderDxfId="3372" tableBorderDxfId="3370" totalsRowBorderDxfId="3368">
  <autoFilter ref="A46:I49"/>
  <tableColumns count="9">
    <tableColumn id="1" name="Program Category_x000a_and Type of Payment" totalsRowLabel="Grand Total" dataDxfId="3367" totalsRowDxfId="3366"/>
    <tableColumn id="2" name="Fiscal _x000a_Year" totalsRowLabel="N/A" dataDxfId="3365" totalsRowDxfId="3364"/>
    <tableColumn id="3" name="Appropriation _x000a_Number" totalsRowLabel="N/A" dataDxfId="3363" totalsRowDxfId="3362"/>
    <tableColumn id="4" name="Program _x000a_Name" totalsRowLabel="N/A" dataDxfId="3361" totalsRowDxfId="3360"/>
    <tableColumn id="5" name="Legal _x000a_Reference_x000a_(Ch./Year)" totalsRowLabel="N/A" dataDxfId="3359" totalsRowDxfId="3358"/>
    <tableColumn id="6" name="Program_x000a_Number" totalsRowLabel="N/A" dataDxfId="3357" totalsRowDxfId="3356"/>
    <tableColumn id="7" name="Program _x000a_Payments and Offsets" totalsRowFunction="sum" dataDxfId="3355" totalsRowDxfId="3354"/>
    <tableColumn id="8" name="Interest_x000a_Payments and Offsets" totalsRowFunction="sum" dataDxfId="3353" totalsRowDxfId="3352"/>
    <tableColumn id="9" name="Total _x000a_Payments" totalsRowFunction="sum" dataDxfId="3351" totalsRowDxfId="335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Grand total for all."/>
    </ext>
  </extLst>
</table>
</file>

<file path=xl/tables/table100.xml><?xml version="1.0" encoding="utf-8"?>
<table xmlns="http://schemas.openxmlformats.org/spreadsheetml/2006/main" id="80" name="college200102" displayName="college200102" ref="A103:L107" totalsRowCount="1" headerRowDxfId="848" dataDxfId="846" totalsRowDxfId="844" headerRowBorderDxfId="847" tableBorderDxfId="845">
  <autoFilter ref="A103:L106"/>
  <tableColumns count="12">
    <tableColumn id="1" name="Fiscal_x000a_Year" totalsRowLabel="2001-02 Total" dataDxfId="843" totalsRowDxfId="842"/>
    <tableColumn id="2" name="Program_x000a_Name" totalsRowLabel="N/A" dataDxfId="841" totalsRowDxfId="840"/>
    <tableColumn id="3" name="Legal_x000a_Reference_x000a_(Ch./Year)" totalsRowLabel="N/A" dataDxfId="839" totalsRowDxfId="838"/>
    <tableColumn id="4" name="Program_x000a_Number" totalsRowLabel="N/A" dataDxfId="837" totalsRowDxfId="836"/>
    <tableColumn id="5" name="Program_x000a_Costs" totalsRowFunction="sum" dataDxfId="835" totalsRowDxfId="834"/>
    <tableColumn id="6" name="Less: Net_x000a_ Payments and _x000a_Offsets 2" totalsRowFunction="sum" dataDxfId="833" totalsRowDxfId="832"/>
    <tableColumn id="7" name="Comment" totalsRowLabel="N/A" dataDxfId="831" totalsRowDxfId="830" dataCellStyle="Currency"/>
    <tableColumn id="8" name="Accounts Payable_x000a_Balance" totalsRowFunction="sum" dataDxfId="829" totalsRowDxfId="828"/>
    <tableColumn id="9" name="Established_x000a_Accounts Receivable" totalsRowFunction="sum" dataDxfId="827" totalsRowDxfId="826"/>
    <tableColumn id="10" name="Less: _x000a_Recovered _x000a_Amount" totalsRowFunction="sum" dataDxfId="825" totalsRowDxfId="824"/>
    <tableColumn id="11" name="Accounts Receivable_x000a_Balance" totalsRowFunction="sum" dataDxfId="823" totalsRowDxfId="822"/>
    <tableColumn id="12" name="Net_x000a_Balance" totalsRowFunction="sum" dataDxfId="821" totalsRowDxfId="8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101.xml><?xml version="1.0" encoding="utf-8"?>
<table xmlns="http://schemas.openxmlformats.org/spreadsheetml/2006/main" id="81" name="college200001" displayName="college200001" ref="A109:L111" totalsRowCount="1" headerRowDxfId="819" dataDxfId="817" totalsRowDxfId="815" headerRowBorderDxfId="818" tableBorderDxfId="816">
  <autoFilter ref="A109:L110"/>
  <tableColumns count="12">
    <tableColumn id="1" name="Fiscal_x000a_Year" totalsRowLabel="2000-01 Total" dataDxfId="814" totalsRowDxfId="813"/>
    <tableColumn id="2" name="Program_x000a_Name" totalsRowLabel="N/A" dataDxfId="812" totalsRowDxfId="811"/>
    <tableColumn id="3" name="Legal_x000a_Reference_x000a_(Ch./Year)" totalsRowLabel="N/A" dataDxfId="810" totalsRowDxfId="809"/>
    <tableColumn id="4" name="Program_x000a_Number" totalsRowLabel="N/A" dataDxfId="808" totalsRowDxfId="807"/>
    <tableColumn id="5" name="Program_x000a_Costs" totalsRowFunction="sum" dataDxfId="806" totalsRowDxfId="805"/>
    <tableColumn id="6" name="Less: Net_x000a_ Payments and _x000a_Offsets 2" totalsRowFunction="sum" dataDxfId="804" totalsRowDxfId="803"/>
    <tableColumn id="7" name="Comment" totalsRowLabel="N/A" dataDxfId="802" totalsRowDxfId="801" dataCellStyle="Currency"/>
    <tableColumn id="8" name="Accounts Payable_x000a_Balance" totalsRowFunction="sum" dataDxfId="800" totalsRowDxfId="799"/>
    <tableColumn id="9" name="Established_x000a_Accounts Receivable" totalsRowFunction="sum" dataDxfId="798" totalsRowDxfId="797"/>
    <tableColumn id="10" name="Less: _x000a_Recovered _x000a_Amount" totalsRowFunction="sum" dataDxfId="796" totalsRowDxfId="795"/>
    <tableColumn id="11" name="Accounts Receivable_x000a_Balance" totalsRowFunction="sum" dataDxfId="794" totalsRowDxfId="793"/>
    <tableColumn id="12" name="Net_x000a_Balance" totalsRowFunction="sum" dataDxfId="792" totalsRowDxfId="7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102.xml><?xml version="1.0" encoding="utf-8"?>
<table xmlns="http://schemas.openxmlformats.org/spreadsheetml/2006/main" id="82" name="college199900" displayName="college199900" ref="A113:L115" totalsRowCount="1" headerRowDxfId="790" dataDxfId="788" totalsRowDxfId="786" headerRowBorderDxfId="789" tableBorderDxfId="787">
  <autoFilter ref="A113:L114"/>
  <tableColumns count="12">
    <tableColumn id="1" name="Fiscal_x000a_Year" totalsRowLabel="1999-00 Total" dataDxfId="785" totalsRowDxfId="784"/>
    <tableColumn id="2" name="Program_x000a_Name" totalsRowLabel="N/A" dataDxfId="783" totalsRowDxfId="782"/>
    <tableColumn id="3" name="Legal_x000a_Reference_x000a_(Ch./Year)" totalsRowLabel="N/A" dataDxfId="781" totalsRowDxfId="780"/>
    <tableColumn id="4" name="Program_x000a_Number" totalsRowLabel="N/A" dataDxfId="779" totalsRowDxfId="778"/>
    <tableColumn id="5" name="Program_x000a_Costs" totalsRowFunction="sum" dataDxfId="777" totalsRowDxfId="776"/>
    <tableColumn id="6" name="Less: Net_x000a_ Payments and _x000a_Offsets 2" totalsRowFunction="sum" dataDxfId="775" totalsRowDxfId="774"/>
    <tableColumn id="7" name="Comment" totalsRowLabel="N/A" dataDxfId="773" totalsRowDxfId="772"/>
    <tableColumn id="8" name="Accounts Payable_x000a_Balance" totalsRowFunction="sum" dataDxfId="771" totalsRowDxfId="770"/>
    <tableColumn id="9" name="Established_x000a_Accounts Receivable" totalsRowFunction="sum" dataDxfId="769" totalsRowDxfId="768"/>
    <tableColumn id="10" name="Less: _x000a_Recovered _x000a_Amount" totalsRowFunction="sum" dataDxfId="767" totalsRowDxfId="766"/>
    <tableColumn id="11" name="Accounts Receivable_x000a_Balance" totalsRowFunction="sum" dataDxfId="765" totalsRowDxfId="764"/>
    <tableColumn id="12" name="Net_x000a_Balance" totalsRowFunction="sum" dataDxfId="763" totalsRowDxfId="7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103.xml><?xml version="1.0" encoding="utf-8"?>
<table xmlns="http://schemas.openxmlformats.org/spreadsheetml/2006/main" id="83" name="college199899" displayName="college199899" ref="A117:L119" totalsRowCount="1" headerRowDxfId="761" dataDxfId="759" totalsRowDxfId="757" headerRowBorderDxfId="760" tableBorderDxfId="758">
  <autoFilter ref="A117:L118"/>
  <tableColumns count="12">
    <tableColumn id="1" name="Fiscal_x000a_Year" totalsRowLabel="1998-99 Total" dataDxfId="756" totalsRowDxfId="755"/>
    <tableColumn id="2" name="Program_x000a_Name" totalsRowLabel="N/A" dataDxfId="754" totalsRowDxfId="753"/>
    <tableColumn id="3" name="Legal_x000a_Reference_x000a_(Ch./Year)" totalsRowLabel="N/A" dataDxfId="752" totalsRowDxfId="751"/>
    <tableColumn id="4" name="Program_x000a_Number" totalsRowLabel="N/A" dataDxfId="750" totalsRowDxfId="749"/>
    <tableColumn id="5" name="Program_x000a_Costs" totalsRowFunction="sum" dataDxfId="748" totalsRowDxfId="747"/>
    <tableColumn id="6" name="Less: Net_x000a_ Payments and _x000a_Offsets 2" totalsRowFunction="sum" dataDxfId="746" totalsRowDxfId="745"/>
    <tableColumn id="7" name="Comment" totalsRowLabel="N/A" dataDxfId="744" totalsRowDxfId="743"/>
    <tableColumn id="8" name="Accounts Payable_x000a_Balance" totalsRowFunction="sum" dataDxfId="742" totalsRowDxfId="741"/>
    <tableColumn id="9" name="Established_x000a_Accounts Receivable" totalsRowFunction="sum" dataDxfId="740" totalsRowDxfId="739"/>
    <tableColumn id="10" name="Less: _x000a_Recovered _x000a_Amount" totalsRowFunction="sum" dataDxfId="738" totalsRowDxfId="737"/>
    <tableColumn id="11" name="Accounts Receivable_x000a_Balance" totalsRowFunction="sum" dataDxfId="736" totalsRowDxfId="735"/>
    <tableColumn id="12" name="Net_x000a_Balance" totalsRowFunction="sum" dataDxfId="734" totalsRowDxfId="7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104.xml><?xml version="1.0" encoding="utf-8"?>
<table xmlns="http://schemas.openxmlformats.org/spreadsheetml/2006/main" id="84" name="collegegrandtotal" displayName="collegegrandtotal" ref="A121:L138" totalsRowCount="1" headerRowDxfId="732" dataDxfId="730" totalsRowDxfId="728" headerRowBorderDxfId="731" tableBorderDxfId="729">
  <autoFilter ref="A121:L137"/>
  <tableColumns count="12">
    <tableColumn id="1" name="Fiscal_x000a_Year" totalsRowLabel="Total Community College Districts" dataDxfId="727" totalsRowDxfId="726"/>
    <tableColumn id="2" name="Program_x000a_Name" totalsRowLabel="N/A" dataDxfId="725" totalsRowDxfId="724"/>
    <tableColumn id="3" name="Legal_x000a_Reference_x000a_(Ch./Year)" totalsRowLabel="N/A" dataDxfId="723" totalsRowDxfId="722"/>
    <tableColumn id="4" name="Program_x000a_Number" totalsRowLabel="N/A" dataDxfId="721" totalsRowDxfId="720"/>
    <tableColumn id="5" name="Program_x000a_Costs" totalsRowFunction="sum" dataDxfId="719" totalsRowDxfId="718"/>
    <tableColumn id="6" name="Less: Net_x000a_ Payments and _x000a_Offsets 2" totalsRowFunction="sum" dataDxfId="717" totalsRowDxfId="716"/>
    <tableColumn id="7" name="Comment" totalsRowLabel="N/A" dataDxfId="715" totalsRowDxfId="714"/>
    <tableColumn id="8" name="Accounts Payable_x000a_Balance" totalsRowFunction="sum" dataDxfId="713" totalsRowDxfId="712"/>
    <tableColumn id="9" name="Established_x000a_Accounts Receivable" totalsRowFunction="sum" dataDxfId="711" totalsRowDxfId="710"/>
    <tableColumn id="10" name="Less: _x000a_Recovered _x000a_Amount" totalsRowFunction="sum" dataDxfId="709" totalsRowDxfId="708"/>
    <tableColumn id="11" name="Accounts Receivable_x000a_Balance" totalsRowFunction="sum" dataDxfId="707" totalsRowDxfId="706"/>
    <tableColumn id="12" name="Net_x000a_Balance" totalsRowFunction="sum" dataDxfId="705" totalsRowDxfId="7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 grand total."/>
    </ext>
  </extLst>
</table>
</file>

<file path=xl/tables/table105.xml><?xml version="1.0" encoding="utf-8"?>
<table xmlns="http://schemas.openxmlformats.org/spreadsheetml/2006/main" id="85" name="FundedTotal" displayName="FundedTotal" ref="A140:L144" totalsRowCount="1" headerRowDxfId="703" dataDxfId="701" totalsRowDxfId="699" headerRowBorderDxfId="702" tableBorderDxfId="700">
  <autoFilter ref="A140:L143"/>
  <tableColumns count="12">
    <tableColumn id="1" name="Fiscal_x000a_Year" totalsRowLabel="Total Funded Mandates" dataDxfId="698" totalsRowDxfId="697"/>
    <tableColumn id="2" name="Program_x000a_Name" totalsRowLabel="N/A" dataDxfId="696" totalsRowDxfId="695"/>
    <tableColumn id="3" name="Legal_x000a_Reference_x000a_(Ch./Year)" totalsRowLabel="N/A" dataDxfId="694" totalsRowDxfId="693"/>
    <tableColumn id="4" name="Program_x000a_Number" totalsRowLabel="N/A" dataDxfId="692" totalsRowDxfId="691"/>
    <tableColumn id="5" name="Program_x000a_Costs" totalsRowFunction="sum" dataDxfId="690" totalsRowDxfId="689"/>
    <tableColumn id="6" name="Less: Net_x000a_ Payments and _x000a_Offsets 2" totalsRowFunction="sum" dataDxfId="688" totalsRowDxfId="687"/>
    <tableColumn id="7" name="Comment" totalsRowLabel="N/A" dataDxfId="686" totalsRowDxfId="685"/>
    <tableColumn id="8" name="Accounts Payable_x000a_Balance" totalsRowFunction="sum" dataDxfId="684" totalsRowDxfId="683"/>
    <tableColumn id="9" name="Established_x000a_Accounts Receivable" totalsRowFunction="sum" dataDxfId="682" totalsRowDxfId="681"/>
    <tableColumn id="10" name="Less: _x000a_Recovered _x000a_Amount" totalsRowFunction="sum" dataDxfId="680" totalsRowDxfId="679"/>
    <tableColumn id="11" name="Accounts Receivable_x000a_Balance" totalsRowFunction="sum" dataDxfId="678" totalsRowDxfId="677"/>
    <tableColumn id="12" name="Net_x000a_Balance" totalsRowFunction="sum" dataDxfId="676" totalsRowDxfId="67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Total funded mandates."/>
    </ext>
  </extLst>
</table>
</file>

<file path=xl/tables/table106.xml><?xml version="1.0" encoding="utf-8"?>
<table xmlns="http://schemas.openxmlformats.org/spreadsheetml/2006/main" id="86" name="local288" displayName="local288" ref="A2:K5" totalsRowCount="1" headerRowDxfId="674" dataDxfId="672" totalsRowDxfId="670" headerRowBorderDxfId="673" tableBorderDxfId="671" headerRowCellStyle="Currency">
  <autoFilter ref="A2:K4"/>
  <tableColumns count="11">
    <tableColumn id="1" name="Program_x000a_Name" totalsRowLabel="California Fire Incident Reporting System (CFIRS) Total" dataDxfId="669" totalsRowDxfId="668"/>
    <tableColumn id="2" name="Legal_x000a_Reference_x000a_(Ch./Year)" totalsRowLabel="N/A" dataDxfId="667" totalsRowDxfId="666"/>
    <tableColumn id="3" name="Program _x000a_Number" totalsRowLabel="N/A" dataDxfId="665" totalsRowDxfId="664"/>
    <tableColumn id="4" name="Fiscal_x000a_Year" totalsRowLabel="N/A" dataDxfId="663" totalsRowDxfId="662"/>
    <tableColumn id="5" name="Program_x000a_Costs" totalsRowFunction="sum" dataDxfId="661" totalsRowDxfId="660"/>
    <tableColumn id="6" name="Less: Net_x000a_Payments _x000a_and Offsets" totalsRowFunction="sum" dataDxfId="659" totalsRowDxfId="658"/>
    <tableColumn id="7" name="Accounts Payable_x000a_Balance" totalsRowFunction="sum" dataDxfId="657" totalsRowDxfId="656"/>
    <tableColumn id="8" name="Established_x000a_Accounts Receivable" totalsRowFunction="sum" dataDxfId="655" totalsRowDxfId="654"/>
    <tableColumn id="9" name="Less:_x000a_ Recovered_x000a_Amount" totalsRowFunction="sum" dataDxfId="653" totalsRowDxfId="652"/>
    <tableColumn id="10" name="Accounts Receivable_x000a_Balance" totalsRowFunction="sum" dataDxfId="651" totalsRowDxfId="650"/>
    <tableColumn id="11" name="Net_x000a_Balance" totalsRowFunction="sum" dataDxfId="649" totalsRowDxfId="6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7.xml><?xml version="1.0" encoding="utf-8"?>
<table xmlns="http://schemas.openxmlformats.org/spreadsheetml/2006/main" id="87" name="local310" displayName="local310" ref="A13:K25" totalsRowCount="1" headerRowDxfId="647" dataDxfId="645" totalsRowDxfId="643" headerRowBorderDxfId="646" tableBorderDxfId="644" headerRowCellStyle="Currency">
  <autoFilter ref="A13:K24"/>
  <tableColumns count="11">
    <tableColumn id="1" name="Program_x000a_Name" totalsRowLabel="Crime Statistics Reports for the Department of Justice Total" dataDxfId="642" totalsRowDxfId="641"/>
    <tableColumn id="2" name="Legal_x000a_Reference_x000a_(Ch./Year)" totalsRowLabel="N/A" dataDxfId="640" totalsRowDxfId="639"/>
    <tableColumn id="3" name="Program _x000a_Number" totalsRowLabel="N/A" dataDxfId="638" totalsRowDxfId="637"/>
    <tableColumn id="4" name="Fiscal_x000a_Year" totalsRowLabel="N/A" dataDxfId="636" totalsRowDxfId="635"/>
    <tableColumn id="5" name="Program_x000a_Costs" totalsRowFunction="sum" dataDxfId="634" totalsRowDxfId="633"/>
    <tableColumn id="6" name="Less: Net_x000a_Payments _x000a_and Offsets" totalsRowFunction="sum" dataDxfId="632" totalsRowDxfId="631"/>
    <tableColumn id="7" name="Accounts Payable_x000a_Balance" totalsRowFunction="sum" dataDxfId="630" totalsRowDxfId="629"/>
    <tableColumn id="8" name="Established_x000a_Accounts Receivable" totalsRowFunction="sum" dataDxfId="628" totalsRowDxfId="627"/>
    <tableColumn id="9" name="Less:_x000a_ Recovered_x000a_Amount" totalsRowFunction="sum" dataDxfId="626" totalsRowDxfId="625"/>
    <tableColumn id="10" name="Accounts Receivable_x000a_Balance" totalsRowFunction="sum" dataDxfId="624" totalsRowDxfId="623"/>
    <tableColumn id="11" name="Net_x000a_Balance" totalsRowFunction="sum" dataDxfId="622" totalsRowDxfId="62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8.xml><?xml version="1.0" encoding="utf-8"?>
<table xmlns="http://schemas.openxmlformats.org/spreadsheetml/2006/main" id="88" name="local306" displayName="local306" ref="A27:K38" totalsRowCount="1" headerRowDxfId="620" dataDxfId="618" totalsRowDxfId="616" headerRowBorderDxfId="619" tableBorderDxfId="617" headerRowCellStyle="Currency">
  <autoFilter ref="A27:K37"/>
  <tableColumns count="11">
    <tableColumn id="1" name="Program_x000a_Name" totalsRowLabel="Crime Victims' Domestic Violence Incident Reports II Total" dataDxfId="615" totalsRowDxfId="614"/>
    <tableColumn id="2" name="Legal_x000a_Reference_x000a_(Ch./Year)" totalsRowLabel="N/A" dataDxfId="613" totalsRowDxfId="612"/>
    <tableColumn id="3" name="Program _x000a_Number" totalsRowLabel="N/A" dataDxfId="611" totalsRowDxfId="610"/>
    <tableColumn id="4" name="Fiscal_x000a_Year" totalsRowLabel="N/A" dataDxfId="609" totalsRowDxfId="608"/>
    <tableColumn id="5" name="Program_x000a_Costs" totalsRowFunction="sum" dataDxfId="607" totalsRowDxfId="606"/>
    <tableColumn id="6" name="Less: Net_x000a_Payments _x000a_and Offsets" totalsRowFunction="sum" dataDxfId="605" totalsRowDxfId="604"/>
    <tableColumn id="7" name="Accounts Payable_x000a_Balance" totalsRowFunction="sum" dataDxfId="603" totalsRowDxfId="602"/>
    <tableColumn id="8" name="Established_x000a_Accounts Receivable" totalsRowFunction="sum" dataDxfId="601" totalsRowDxfId="600"/>
    <tableColumn id="9" name="Less:_x000a_ Recovered_x000a_Amount" totalsRowFunction="sum" dataDxfId="599" totalsRowDxfId="598"/>
    <tableColumn id="10" name="Accounts Receivable_x000a_Balance" totalsRowFunction="sum" dataDxfId="597" totalsRowDxfId="596"/>
    <tableColumn id="11" name="Net_x000a_Balance" totalsRowFunction="sum" dataDxfId="595" totalsRowDxfId="5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09.xml><?xml version="1.0" encoding="utf-8"?>
<table xmlns="http://schemas.openxmlformats.org/spreadsheetml/2006/main" id="89" name="local322" displayName="local322" ref="A40:K53" totalsRowCount="1" headerRowDxfId="593" dataDxfId="591" totalsRowDxfId="589" headerRowBorderDxfId="592" tableBorderDxfId="590" headerRowCellStyle="Currency">
  <autoFilter ref="A40:K52"/>
  <tableColumns count="11">
    <tableColumn id="1" name="Program_x000a_Name" totalsRowLabel="Domestic Violence Background Checks Total" dataDxfId="588" totalsRowDxfId="587"/>
    <tableColumn id="2" name="Legal_x000a_Reference_x000a_(Ch./Year)" totalsRowLabel="N/A" dataDxfId="586" totalsRowDxfId="585"/>
    <tableColumn id="3" name="Program _x000a_Number" totalsRowLabel="N/A" dataDxfId="584" totalsRowDxfId="583"/>
    <tableColumn id="4" name="Fiscal_x000a_Year" totalsRowLabel="N/A" dataDxfId="582" totalsRowDxfId="581"/>
    <tableColumn id="5" name="Program_x000a_Costs" totalsRowFunction="sum" dataDxfId="580" totalsRowDxfId="579"/>
    <tableColumn id="6" name="Less: Net_x000a_Payments _x000a_and Offsets" totalsRowFunction="sum" dataDxfId="578" totalsRowDxfId="577"/>
    <tableColumn id="7" name="Accounts Payable_x000a_Balance" totalsRowFunction="sum" dataDxfId="576" totalsRowDxfId="575"/>
    <tableColumn id="8" name="Established_x000a_Accounts Receivable" totalsRowFunction="sum" dataDxfId="574" totalsRowDxfId="573"/>
    <tableColumn id="9" name="Less:_x000a_ Recovered_x000a_Amount" totalsRowFunction="sum" dataDxfId="572" totalsRowDxfId="571"/>
    <tableColumn id="10" name="Accounts Receivable_x000a_Balance" totalsRowFunction="sum" dataDxfId="570" totalsRowDxfId="569"/>
    <tableColumn id="11" name="Net_x000a_Balance" totalsRowFunction="sum" dataDxfId="568" totalsRowDxfId="56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.xml><?xml version="1.0" encoding="utf-8"?>
<table xmlns="http://schemas.openxmlformats.org/spreadsheetml/2006/main" id="114" name="schoolannualclaim" displayName="schoolannualclaim" ref="A2:I26" totalsRowCount="1" headerRowDxfId="3349" dataDxfId="3347" totalsRowDxfId="3345" headerRowBorderDxfId="3348" tableBorderDxfId="3346" totalsRowBorderDxfId="3344">
  <autoFilter ref="A2:I25"/>
  <tableColumns count="9">
    <tableColumn id="1" name="Program Category_x000a_and Type of Payment" totalsRowLabel="Total School Districts" dataDxfId="3343" totalsRowDxfId="3342"/>
    <tableColumn id="2" name="Fiscal_x000a_Year" totalsRowLabel="N/A" dataDxfId="3341" totalsRowDxfId="3340"/>
    <tableColumn id="3" name="Appropriation_x000a_Number" totalsRowLabel="N/A" dataDxfId="3339" totalsRowDxfId="3338"/>
    <tableColumn id="4" name="Program_x000a_Name" totalsRowLabel="N/A" dataDxfId="3337" totalsRowDxfId="3336"/>
    <tableColumn id="5" name="Legal _x000a_Reference_x000a_(Ch./Year)" totalsRowLabel="N/A" dataDxfId="3335" totalsRowDxfId="3334"/>
    <tableColumn id="6" name="Program_x000a_Number" totalsRowLabel="N/A" dataDxfId="3333" totalsRowDxfId="3332"/>
    <tableColumn id="7" name="Program_x000a_Payments and Offsets" totalsRowFunction="sum" dataDxfId="3331" totalsRowDxfId="3330" dataCellStyle="Currency"/>
    <tableColumn id="8" name="Interest_x000a_Payments and Offsets" totalsRowFunction="sum" dataDxfId="3329" totalsRowDxfId="3328" dataCellStyle="Currency"/>
    <tableColumn id="9" name="Total_x000a_Payments" totalsRowFunction="sum" dataDxfId="3327" totalsRowDxfId="3326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School District-Annual Claim."/>
    </ext>
  </extLst>
</table>
</file>

<file path=xl/tables/table110.xml><?xml version="1.0" encoding="utf-8"?>
<table xmlns="http://schemas.openxmlformats.org/spreadsheetml/2006/main" id="90" name="local293" displayName="local293" ref="A55:K66" totalsRowCount="1" headerRowDxfId="566" dataDxfId="564" totalsRowDxfId="562" headerRowBorderDxfId="565" tableBorderDxfId="563" headerRowCellStyle="Currency">
  <autoFilter ref="A55:K65"/>
  <tableColumns count="11">
    <tableColumn id="1" name="Program_x000a_Name" totalsRowLabel="Firearm Hearings for Discharged Inpatients Total" dataDxfId="561" totalsRowDxfId="560"/>
    <tableColumn id="2" name="Legal_x000a_Reference_x000a_(Ch./Year)" totalsRowLabel="N/A" dataDxfId="559" totalsRowDxfId="558"/>
    <tableColumn id="3" name="Program _x000a_Number" totalsRowLabel="N/A" dataDxfId="557" totalsRowDxfId="556"/>
    <tableColumn id="4" name="Fiscal_x000a_Year" totalsRowLabel="N/A" dataDxfId="555" totalsRowDxfId="554"/>
    <tableColumn id="5" name="Program_x000a_Costs" totalsRowFunction="sum" dataDxfId="553" totalsRowDxfId="552"/>
    <tableColumn id="6" name="Less: Net_x000a_Payments _x000a_and Offsets" totalsRowFunction="sum" dataDxfId="551" totalsRowDxfId="550"/>
    <tableColumn id="7" name="Accounts Payable_x000a_Balance" totalsRowFunction="sum" dataDxfId="549" totalsRowDxfId="548"/>
    <tableColumn id="8" name="Established_x000a_Accounts Receivable" totalsRowFunction="sum" dataDxfId="547" totalsRowDxfId="546"/>
    <tableColumn id="9" name="Less:_x000a_ Recovered_x000a_Amount" totalsRowFunction="sum" dataDxfId="545" totalsRowDxfId="544"/>
    <tableColumn id="10" name="Accounts Receivable_x000a_Balance" totalsRowFunction="sum" dataDxfId="543" totalsRowDxfId="542"/>
    <tableColumn id="11" name="Net_x000a_Balance" totalsRowFunction="sum" dataDxfId="541" totalsRowDxfId="5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1.xml><?xml version="1.0" encoding="utf-8"?>
<table xmlns="http://schemas.openxmlformats.org/spreadsheetml/2006/main" id="91" name="local321" displayName="local321" ref="A68:K80" totalsRowCount="1" headerRowDxfId="539" dataDxfId="537" totalsRowDxfId="535" headerRowBorderDxfId="538" tableBorderDxfId="536" headerRowCellStyle="Currency">
  <autoFilter ref="A68:K79"/>
  <tableColumns count="11">
    <tableColumn id="1" name="Program_x000a_Name" totalsRowLabel="Identity Theft Total" dataDxfId="534" totalsRowDxfId="533"/>
    <tableColumn id="2" name="Legal_x000a_Reference_x000a_(Ch./Year)" totalsRowLabel="N/A" dataDxfId="532" totalsRowDxfId="531"/>
    <tableColumn id="3" name="Program _x000a_Number" totalsRowLabel="N/A" dataDxfId="530" totalsRowDxfId="529"/>
    <tableColumn id="4" name="Fiscal_x000a_Year" totalsRowLabel="N/A" dataDxfId="528" totalsRowDxfId="527"/>
    <tableColumn id="5" name="Program_x000a_Costs" totalsRowFunction="sum" dataDxfId="526" totalsRowDxfId="525"/>
    <tableColumn id="6" name="Less: Net_x000a_Payments _x000a_and Offsets" totalsRowFunction="sum" dataDxfId="524" totalsRowDxfId="523"/>
    <tableColumn id="7" name="Accounts Payable_x000a_Balance" totalsRowFunction="sum" dataDxfId="522" totalsRowDxfId="521"/>
    <tableColumn id="8" name="Established_x000a_Accounts Receivable" totalsRowFunction="sum" dataDxfId="520" totalsRowDxfId="519"/>
    <tableColumn id="9" name="Less:_x000a_ Recovered_x000a_Amount" totalsRowFunction="sum" dataDxfId="518" totalsRowDxfId="517"/>
    <tableColumn id="10" name="Accounts Receivable_x000a_Balance" totalsRowFunction="sum" dataDxfId="516" totalsRowDxfId="515"/>
    <tableColumn id="11" name="Net_x000a_Balance" totalsRowFunction="sum" dataDxfId="514" totalsRowDxfId="51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2.xml><?xml version="1.0" encoding="utf-8"?>
<table xmlns="http://schemas.openxmlformats.org/spreadsheetml/2006/main" id="92" name="local358" displayName="local358" ref="A82:K99" totalsRowCount="1" headerRowDxfId="512" dataDxfId="510" totalsRowDxfId="508" headerRowBorderDxfId="511" tableBorderDxfId="509" headerRowCellStyle="Currency">
  <autoFilter ref="A82:K98"/>
  <tableColumns count="11">
    <tableColumn id="1" name="Program_x000a_Name" totalsRowLabel="Interagency Child Abuse and Neglect Investigation Reports Total" dataDxfId="507" totalsRowDxfId="506"/>
    <tableColumn id="2" name="Legal_x000a_Reference_x000a_(Ch./Year)" totalsRowLabel="N/A" dataDxfId="505" totalsRowDxfId="504"/>
    <tableColumn id="3" name="Program _x000a_Number" totalsRowLabel="N/A" dataDxfId="503" totalsRowDxfId="502"/>
    <tableColumn id="4" name="Fiscal_x000a_Year" totalsRowLabel="N/A" dataDxfId="501" totalsRowDxfId="500"/>
    <tableColumn id="5" name="Program_x000a_Costs" totalsRowFunction="sum" dataDxfId="499" totalsRowDxfId="498"/>
    <tableColumn id="6" name="Less: Net_x000a_Payments _x000a_and Offsets" totalsRowFunction="sum" dataDxfId="497" totalsRowDxfId="496"/>
    <tableColumn id="7" name="Accounts Payable_x000a_Balance" totalsRowFunction="sum" dataDxfId="495" totalsRowDxfId="494"/>
    <tableColumn id="8" name="Established_x000a_Accounts Receivable" totalsRowFunction="sum" dataDxfId="493" totalsRowDxfId="492"/>
    <tableColumn id="9" name="Less:_x000a_ Recovered_x000a_Amount" totalsRowFunction="sum" dataDxfId="491" totalsRowDxfId="490"/>
    <tableColumn id="10" name="Accounts Receivable_x000a_Balance" totalsRowFunction="sum" dataDxfId="489" totalsRowDxfId="488"/>
    <tableColumn id="11" name="Net_x000a_Balance" totalsRowFunction="sum" dataDxfId="487" totalsRowDxfId="4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3.xml><?xml version="1.0" encoding="utf-8"?>
<table xmlns="http://schemas.openxmlformats.org/spreadsheetml/2006/main" id="93" name="local259" displayName="local259" ref="A101:K104" totalsRowCount="1" headerRowDxfId="485" dataDxfId="483" totalsRowDxfId="481" headerRowBorderDxfId="484" tableBorderDxfId="482" headerRowCellStyle="Currency">
  <autoFilter ref="A101:K103"/>
  <tableColumns count="11">
    <tableColumn id="1" name="Program_x000a_Name" totalsRowLabel="Local Elections: Consolidation Total" dataDxfId="480" totalsRowDxfId="479"/>
    <tableColumn id="2" name="Legal_x000a_Reference_x000a_(Ch./Year)" totalsRowLabel="N/A" dataDxfId="478" totalsRowDxfId="477"/>
    <tableColumn id="3" name="Program _x000a_Number" totalsRowLabel="N/A" dataDxfId="476" totalsRowDxfId="475"/>
    <tableColumn id="4" name="Fiscal_x000a_Year" totalsRowLabel="N/A" dataDxfId="474" totalsRowDxfId="473"/>
    <tableColumn id="5" name="Program_x000a_Costs" totalsRowFunction="sum" dataDxfId="472" totalsRowDxfId="471"/>
    <tableColumn id="6" name="Less: Net_x000a_Payments _x000a_and Offsets" totalsRowFunction="sum" dataDxfId="470" totalsRowDxfId="469"/>
    <tableColumn id="7" name="Accounts Payable_x000a_Balance" totalsRowFunction="sum" dataDxfId="468" totalsRowDxfId="467"/>
    <tableColumn id="8" name="Established_x000a_Accounts Receivable" totalsRowFunction="sum" dataDxfId="466" totalsRowDxfId="465"/>
    <tableColumn id="9" name="Less:_x000a_ Recovered_x000a_Amount" totalsRowFunction="sum" dataDxfId="464" totalsRowDxfId="463"/>
    <tableColumn id="10" name="Accounts Receivable_x000a_Balance" totalsRowFunction="sum" dataDxfId="462" totalsRowDxfId="461"/>
    <tableColumn id="11" name="Net_x000a_Balance" totalsRowFunction="sum" dataDxfId="460" totalsRowDxfId="45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4.xml><?xml version="1.0" encoding="utf-8"?>
<table xmlns="http://schemas.openxmlformats.org/spreadsheetml/2006/main" id="94" name="local298" displayName="local298" ref="A106:K128" totalsRowCount="1" headerRowDxfId="458" dataDxfId="456" totalsRowDxfId="454" headerRowBorderDxfId="457" tableBorderDxfId="455" headerRowCellStyle="Currency">
  <autoFilter ref="A106:K127"/>
  <tableColumns count="11">
    <tableColumn id="1" name="Program_x000a_Name" totalsRowLabel="Local Government Employee Relations Total" dataDxfId="453" totalsRowDxfId="452"/>
    <tableColumn id="2" name="Legal_x000a_Reference_x000a_(Ch./Year)" totalsRowLabel="N/A" dataDxfId="451" totalsRowDxfId="450"/>
    <tableColumn id="3" name="Program _x000a_Number" totalsRowLabel="N/A" dataDxfId="449" totalsRowDxfId="448"/>
    <tableColumn id="4" name="Fiscal_x000a_Year" totalsRowLabel="N/A" dataDxfId="447" totalsRowDxfId="446"/>
    <tableColumn id="5" name="Program_x000a_Costs" totalsRowFunction="sum" dataDxfId="445" totalsRowDxfId="444"/>
    <tableColumn id="6" name="Less: Net_x000a_Payments _x000a_and Offsets" totalsRowFunction="sum" dataDxfId="443" totalsRowDxfId="442"/>
    <tableColumn id="7" name="Accounts Payable_x000a_Balance" totalsRowFunction="sum" dataDxfId="441" totalsRowDxfId="440"/>
    <tableColumn id="8" name="Established_x000a_Accounts Receivable" totalsRowFunction="sum" dataDxfId="439" totalsRowDxfId="438"/>
    <tableColumn id="9" name="Less:_x000a_ Recovered_x000a_Amount" totalsRowFunction="sum" dataDxfId="437" totalsRowDxfId="436"/>
    <tableColumn id="10" name="Accounts Receivable_x000a_Balance" totalsRowFunction="sum" dataDxfId="435" totalsRowDxfId="434"/>
    <tableColumn id="11" name="Net_x000a_Balance" totalsRowFunction="sum" dataDxfId="433" totalsRowDxfId="4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5.xml><?xml version="1.0" encoding="utf-8"?>
<table xmlns="http://schemas.openxmlformats.org/spreadsheetml/2006/main" id="95" name="local281" displayName="local281" ref="A130:K141" totalsRowCount="1" headerRowDxfId="431" dataDxfId="429" totalsRowDxfId="427" headerRowBorderDxfId="430" tableBorderDxfId="428" headerRowCellStyle="Currency">
  <autoFilter ref="A130:K140"/>
  <tableColumns count="11">
    <tableColumn id="1" name="Program_x000a_Name" totalsRowLabel="Mentally Disordered Offenders: Treatment as a Condition of Parole Total" dataDxfId="426" totalsRowDxfId="425"/>
    <tableColumn id="2" name="Legal_x000a_Reference_x000a_(Ch./Year)" totalsRowLabel="N/A" dataDxfId="424" totalsRowDxfId="423"/>
    <tableColumn id="3" name="Program _x000a_Number" totalsRowLabel="N/A" dataDxfId="422" totalsRowDxfId="421"/>
    <tableColumn id="4" name="Fiscal_x000a_Year" totalsRowLabel="N/A" dataDxfId="420" totalsRowDxfId="419"/>
    <tableColumn id="5" name="Program_x000a_Costs" totalsRowFunction="sum" dataDxfId="418" totalsRowDxfId="417"/>
    <tableColumn id="6" name="Less: Net_x000a_Payments _x000a_and Offsets" totalsRowFunction="sum" dataDxfId="416" totalsRowDxfId="415"/>
    <tableColumn id="7" name="Accounts Payable_x000a_Balance" totalsRowFunction="sum" dataDxfId="414" totalsRowDxfId="413"/>
    <tableColumn id="8" name="Established_x000a_Accounts Receivable" totalsRowFunction="sum" dataDxfId="412" totalsRowDxfId="411"/>
    <tableColumn id="9" name="Less:_x000a_ Recovered_x000a_Amount" totalsRowFunction="sum" dataDxfId="410" totalsRowDxfId="409"/>
    <tableColumn id="10" name="Accounts Receivable_x000a_Balance" totalsRowFunction="sum" dataDxfId="408" totalsRowDxfId="407"/>
    <tableColumn id="11" name="Net_x000a_Balance" totalsRowFunction="sum" dataDxfId="406" totalsRowDxfId="40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6.xml><?xml version="1.0" encoding="utf-8"?>
<table xmlns="http://schemas.openxmlformats.org/spreadsheetml/2006/main" id="96" name="local323" displayName="local323" ref="A143:K151" totalsRowCount="1" headerRowDxfId="404" dataDxfId="402" totalsRowDxfId="400" headerRowBorderDxfId="403" tableBorderDxfId="401" headerRowCellStyle="Currency">
  <autoFilter ref="A143:K150"/>
  <tableColumns count="11">
    <tableColumn id="1" name="Program_x000a_Name" totalsRowLabel="Modified Primary Election Total" dataDxfId="399" totalsRowDxfId="398"/>
    <tableColumn id="2" name="Legal_x000a_Reference_x000a_(Ch./Year)" totalsRowLabel="N/A" dataDxfId="397" totalsRowDxfId="396"/>
    <tableColumn id="3" name="Program _x000a_Number" totalsRowLabel="N/A" dataDxfId="395" totalsRowDxfId="394"/>
    <tableColumn id="4" name="Fiscal_x000a_Year" totalsRowLabel="N/A" dataDxfId="393" totalsRowDxfId="392"/>
    <tableColumn id="5" name="Program_x000a_Costs" totalsRowFunction="sum" dataDxfId="391" totalsRowDxfId="390"/>
    <tableColumn id="6" name="Less: Net_x000a_Payments _x000a_and Offsets" totalsRowFunction="sum" dataDxfId="389" totalsRowDxfId="388"/>
    <tableColumn id="7" name="Accounts Payable_x000a_Balance" totalsRowFunction="sum" dataDxfId="387" totalsRowDxfId="386"/>
    <tableColumn id="8" name="Established_x000a_Accounts Receivable" totalsRowFunction="sum" dataDxfId="385" totalsRowDxfId="384"/>
    <tableColumn id="9" name="Less:_x000a_ Recovered_x000a_Amount" totalsRowFunction="sum" dataDxfId="383" totalsRowDxfId="382"/>
    <tableColumn id="10" name="Accounts Receivable_x000a_Balance" totalsRowFunction="sum" dataDxfId="381" totalsRowDxfId="380"/>
    <tableColumn id="11" name="Net_x000a_Balance" totalsRowFunction="sum" dataDxfId="379" totalsRowDxfId="3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7.xml><?xml version="1.0" encoding="utf-8"?>
<table xmlns="http://schemas.openxmlformats.org/spreadsheetml/2006/main" id="98" name="local356" displayName="local356" ref="A153:K174" totalsRowCount="1" headerRowDxfId="377" dataDxfId="375" totalsRowDxfId="373" headerRowBorderDxfId="376" tableBorderDxfId="374" headerRowCellStyle="Currency">
  <autoFilter ref="A153:K173"/>
  <tableColumns count="11">
    <tableColumn id="1" name="Program_x000a_Name" totalsRowLabel="Peace Officers Procedural Bill of Rights II Total" dataDxfId="372" totalsRowDxfId="371"/>
    <tableColumn id="2" name="Legal_x000a_Reference_x000a_(Ch./Year)" totalsRowLabel="N/A" dataDxfId="370" totalsRowDxfId="369"/>
    <tableColumn id="3" name="Program _x000a_Number" totalsRowLabel="N/A" dataDxfId="368" totalsRowDxfId="367"/>
    <tableColumn id="4" name="Fiscal_x000a_Year" totalsRowLabel="N/A" dataDxfId="366" totalsRowDxfId="365"/>
    <tableColumn id="5" name="Program_x000a_Costs" totalsRowFunction="sum" dataDxfId="364" totalsRowDxfId="363"/>
    <tableColumn id="6" name="Less: Net_x000a_Payments _x000a_and Offsets" totalsRowFunction="sum" dataDxfId="362" totalsRowDxfId="361"/>
    <tableColumn id="7" name="Accounts Payable_x000a_Balance" totalsRowFunction="sum" dataDxfId="360" totalsRowDxfId="359"/>
    <tableColumn id="8" name="Established_x000a_Accounts Receivable" totalsRowFunction="sum" dataDxfId="358" totalsRowDxfId="357"/>
    <tableColumn id="9" name="Less:_x000a_ Recovered_x000a_Amount" totalsRowFunction="sum" dataDxfId="356" totalsRowDxfId="355"/>
    <tableColumn id="10" name="Accounts Receivable_x000a_Balance" totalsRowFunction="sum" dataDxfId="354" totalsRowDxfId="353"/>
    <tableColumn id="11" name="Net_x000a_Balance" totalsRowFunction="sum" dataDxfId="352" totalsRowDxfId="3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8.xml><?xml version="1.0" encoding="utf-8"?>
<table xmlns="http://schemas.openxmlformats.org/spreadsheetml/2006/main" id="100" name="local324" displayName="local324" ref="A176:K188" totalsRowCount="1" headerRowDxfId="350" dataDxfId="348" totalsRowDxfId="346" headerRowBorderDxfId="349" tableBorderDxfId="347" headerRowCellStyle="Currency">
  <autoFilter ref="A176:K187"/>
  <tableColumns count="11">
    <tableColumn id="1" name="Program_x000a_Name" totalsRowLabel="Permanent Absent Voters II Total" dataDxfId="345" totalsRowDxfId="344"/>
    <tableColumn id="2" name="Legal_x000a_Reference_x000a_(Ch./Year)" totalsRowLabel="N/A" dataDxfId="343" totalsRowDxfId="342"/>
    <tableColumn id="3" name="Program _x000a_Number" totalsRowLabel="N/A" dataDxfId="341" totalsRowDxfId="340"/>
    <tableColumn id="4" name="Fiscal_x000a_Year" totalsRowLabel="N/A" dataDxfId="339" totalsRowDxfId="338"/>
    <tableColumn id="5" name="Program_x000a_Costs" totalsRowFunction="sum" dataDxfId="337" totalsRowDxfId="336"/>
    <tableColumn id="6" name="Less: Net_x000a_Payments _x000a_and Offsets" totalsRowFunction="sum" dataDxfId="335" totalsRowDxfId="334"/>
    <tableColumn id="7" name="Accounts Payable_x000a_Balance" totalsRowFunction="sum" dataDxfId="333" totalsRowDxfId="332"/>
    <tableColumn id="8" name="Established_x000a_Accounts Receivable" totalsRowFunction="sum" dataDxfId="331" totalsRowDxfId="330"/>
    <tableColumn id="9" name="Less:_x000a_ Recovered_x000a_Amount" totalsRowFunction="sum" dataDxfId="329" totalsRowDxfId="328"/>
    <tableColumn id="10" name="Accounts Receivable_x000a_Balance" totalsRowFunction="sum" dataDxfId="327" totalsRowDxfId="326"/>
    <tableColumn id="11" name="Net_x000a_Balance" totalsRowFunction="sum" dataDxfId="325" totalsRowDxfId="3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19.xml><?xml version="1.0" encoding="utf-8"?>
<table xmlns="http://schemas.openxmlformats.org/spreadsheetml/2006/main" id="101" name="local375" displayName="local375" ref="A190:K196" totalsRowCount="1" headerRowDxfId="323" dataDxfId="321" totalsRowDxfId="319" headerRowBorderDxfId="322" tableBorderDxfId="320" headerRowCellStyle="Currency">
  <autoFilter ref="A190:K195"/>
  <tableColumns count="11">
    <tableColumn id="1" name="Program_x000a_Name" totalsRowLabel="Racial and Identity Profiling Total" dataDxfId="318" totalsRowDxfId="317"/>
    <tableColumn id="2" name="Legal_x000a_Reference_x000a_(Ch./Year)" totalsRowLabel="N/A" dataDxfId="316" totalsRowDxfId="315"/>
    <tableColumn id="3" name="Program _x000a_Number" totalsRowLabel="N/A" dataDxfId="314" totalsRowDxfId="313"/>
    <tableColumn id="4" name="Fiscal_x000a_Year" totalsRowLabel="N/A" dataDxfId="312" totalsRowDxfId="311"/>
    <tableColumn id="5" name="Program_x000a_Costs" totalsRowFunction="sum" dataDxfId="310" totalsRowDxfId="309"/>
    <tableColumn id="6" name="Less: Net_x000a_Payments _x000a_and Offsets" totalsRowFunction="sum" dataDxfId="308" totalsRowDxfId="307"/>
    <tableColumn id="7" name="Accounts Payable_x000a_Balance" totalsRowFunction="sum" dataDxfId="306" totalsRowDxfId="305"/>
    <tableColumn id="8" name="Established_x000a_Accounts Receivable" totalsRowFunction="sum" dataDxfId="304" totalsRowDxfId="303"/>
    <tableColumn id="9" name="Less:_x000a_ Recovered_x000a_Amount" totalsRowFunction="sum" dataDxfId="302" totalsRowDxfId="301"/>
    <tableColumn id="10" name="Accounts Receivable_x000a_Balance" totalsRowFunction="sum" dataDxfId="300" totalsRowDxfId="299"/>
    <tableColumn id="11" name="Net_x000a_Balance" totalsRowFunction="sum" dataDxfId="298" totalsRowDxfId="29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.xml><?xml version="1.0" encoding="utf-8"?>
<table xmlns="http://schemas.openxmlformats.org/spreadsheetml/2006/main" id="121" name="schoolgrandtotala1" displayName="schoolgrandtotala1" ref="A28:I31" totalsRowCount="1" headerRowDxfId="3325" dataDxfId="3323" totalsRowDxfId="3321" headerRowBorderDxfId="3324" tableBorderDxfId="3322" totalsRowBorderDxfId="3320">
  <autoFilter ref="A28:I30"/>
  <tableColumns count="9">
    <tableColumn id="1" name="Program Category_x000a_and Type of Payment" totalsRowLabel="Grand Total Local Agencies and School Districts 3" dataDxfId="3319" totalsRowDxfId="119" dataCellStyle="Hyperlink"/>
    <tableColumn id="2" name="Fiscal _x000a_Year" totalsRowLabel="Comment: All community college districts participate in the block grant program. Therefore, no payments are made to any community college districts." dataDxfId="3318" totalsRowDxfId="118"/>
    <tableColumn id="3" name="Appropriation _x000a_Number" totalsRowLabel="N/A" dataDxfId="3317" totalsRowDxfId="117"/>
    <tableColumn id="4" name="Program _x000a_Name" totalsRowLabel="N/A" dataDxfId="3316" totalsRowDxfId="116"/>
    <tableColumn id="5" name="Legal _x000a_Reference_x000a_(Ch./Year)" totalsRowLabel="N/A" dataDxfId="3315" totalsRowDxfId="115"/>
    <tableColumn id="6" name="Program_x000a_Number" totalsRowLabel="N/A" dataDxfId="3314" totalsRowDxfId="114"/>
    <tableColumn id="7" name="Program _x000a_Payments and Offsets" totalsRowFunction="sum" dataDxfId="3313" totalsRowDxfId="113"/>
    <tableColumn id="8" name="Interest_x000a_Payments and Offsets" totalsRowFunction="sum" dataDxfId="3312" totalsRowDxfId="112" dataCellStyle="Currency"/>
    <tableColumn id="9" name="Total _x000a_Payments" totalsRowFunction="sum" dataDxfId="3311" totalsRowDxfId="1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Grand total local agencies and school districts."/>
    </ext>
  </extLst>
</table>
</file>

<file path=xl/tables/table120.xml><?xml version="1.0" encoding="utf-8"?>
<table xmlns="http://schemas.openxmlformats.org/spreadsheetml/2006/main" id="102" name="local378" displayName="local378" ref="A198:K202" totalsRowCount="1" headerRowDxfId="296" dataDxfId="294" totalsRowDxfId="292" headerRowBorderDxfId="295" tableBorderDxfId="293" headerRowCellStyle="Currency">
  <autoFilter ref="A198:K201"/>
  <tableColumns count="11">
    <tableColumn id="1" name="Program_x000a_Name" totalsRowLabel="Sexual Assault Evidence Kits: Testing Total" dataDxfId="291" totalsRowDxfId="290"/>
    <tableColumn id="2" name="Legal_x000a_Reference_x000a_(Ch./Year)" totalsRowLabel="N/A" dataDxfId="289" totalsRowDxfId="288"/>
    <tableColumn id="3" name="Program _x000a_Number" totalsRowLabel="N/A" dataDxfId="287" totalsRowDxfId="286"/>
    <tableColumn id="4" name="Fiscal_x000a_Year" totalsRowLabel="N/A" dataDxfId="285" totalsRowDxfId="284"/>
    <tableColumn id="5" name="Program_x000a_Costs" totalsRowFunction="sum" dataDxfId="283" totalsRowDxfId="282"/>
    <tableColumn id="6" name="Less: Net_x000a_Payments _x000a_and Offsets" totalsRowFunction="sum" dataDxfId="281" totalsRowDxfId="280"/>
    <tableColumn id="7" name="Accounts Payable_x000a_Balance" totalsRowFunction="sum" dataDxfId="279" totalsRowDxfId="278"/>
    <tableColumn id="8" name="Established_x000a_Accounts Receivable" totalsRowFunction="sum" dataDxfId="277" totalsRowDxfId="276"/>
    <tableColumn id="9" name="Less:_x000a_ Recovered_x000a_Amount" totalsRowFunction="sum" dataDxfId="275" totalsRowDxfId="274"/>
    <tableColumn id="10" name="Accounts Receivable_x000a_Balance" totalsRowFunction="sum" dataDxfId="273" totalsRowDxfId="272"/>
    <tableColumn id="11" name="Net_x000a_Balance" totalsRowFunction="sum" dataDxfId="271" totalsRowDxfId="27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1.xml><?xml version="1.0" encoding="utf-8"?>
<table xmlns="http://schemas.openxmlformats.org/spreadsheetml/2006/main" id="103" name="local376" displayName="local376" ref="A204:K212" totalsRowCount="1" headerRowDxfId="269" dataDxfId="267" totalsRowDxfId="265" headerRowBorderDxfId="268" tableBorderDxfId="266" headerRowCellStyle="Currency">
  <autoFilter ref="A204:K211"/>
  <tableColumns count="11">
    <tableColumn id="1" name="Program_x000a_Name" totalsRowLabel="Sexually Violent Predators For the Period of 7/1/2011 through 6/30/2018 Total" dataDxfId="264" totalsRowDxfId="263"/>
    <tableColumn id="2" name="Legal_x000a_Reference_x000a_(Ch./Year)" totalsRowLabel="N/A" dataDxfId="262" totalsRowDxfId="261"/>
    <tableColumn id="3" name="Program _x000a_Number" totalsRowLabel="N/A" dataDxfId="260" totalsRowDxfId="259"/>
    <tableColumn id="4" name="Fiscal_x000a_Year" totalsRowLabel="N/A" dataDxfId="258" totalsRowDxfId="257"/>
    <tableColumn id="5" name="Program_x000a_Costs" totalsRowFunction="sum" dataDxfId="256" totalsRowDxfId="255"/>
    <tableColumn id="6" name="Less: Net_x000a_Payments _x000a_and Offsets" totalsRowFunction="sum" dataDxfId="254" totalsRowDxfId="253"/>
    <tableColumn id="7" name="Accounts Payable_x000a_Balance" totalsRowFunction="sum" dataDxfId="252" totalsRowDxfId="251"/>
    <tableColumn id="8" name="Established_x000a_Accounts Receivable" totalsRowFunction="sum" dataDxfId="250" totalsRowDxfId="249"/>
    <tableColumn id="9" name="Less:_x000a_ Recovered_x000a_Amount" totalsRowFunction="sum" dataDxfId="248" totalsRowDxfId="247"/>
    <tableColumn id="10" name="Accounts Receivable_x000a_Balance" totalsRowFunction="sum" dataDxfId="246" totalsRowDxfId="245"/>
    <tableColumn id="11" name="Net_x000a_Balance" totalsRowFunction="sum" dataDxfId="244" totalsRowDxfId="24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2.xml><?xml version="1.0" encoding="utf-8"?>
<table xmlns="http://schemas.openxmlformats.org/spreadsheetml/2006/main" id="105" name="local331" displayName="local331" ref="A214:K226" totalsRowCount="1" headerRowDxfId="242" dataDxfId="240" totalsRowDxfId="238" headerRowBorderDxfId="241" tableBorderDxfId="239" headerRowCellStyle="Currency">
  <autoFilter ref="A214:K225"/>
  <tableColumns count="11">
    <tableColumn id="1" name="Program_x000a_Name" totalsRowLabel="Voter Identification Procedures Total" dataDxfId="237" totalsRowDxfId="236"/>
    <tableColumn id="2" name="Legal_x000a_Reference_x000a_(Ch./Year)" totalsRowLabel="N/A" dataDxfId="235" totalsRowDxfId="234"/>
    <tableColumn id="3" name="Program _x000a_Number" totalsRowLabel="N/A" dataDxfId="233" totalsRowDxfId="232"/>
    <tableColumn id="4" name="Fiscal_x000a_Year" totalsRowLabel="N/A" dataDxfId="231" totalsRowDxfId="230"/>
    <tableColumn id="5" name="Program_x000a_Costs" totalsRowFunction="sum" dataDxfId="229" totalsRowDxfId="228"/>
    <tableColumn id="6" name="Less: Net_x000a_Payments _x000a_and Offsets" totalsRowFunction="sum" dataDxfId="227" totalsRowDxfId="226"/>
    <tableColumn id="7" name="Accounts Payable_x000a_Balance" totalsRowFunction="sum" dataDxfId="225" totalsRowDxfId="224"/>
    <tableColumn id="8" name="Established_x000a_Accounts Receivable" totalsRowFunction="sum" dataDxfId="223" totalsRowDxfId="222"/>
    <tableColumn id="9" name="Less:_x000a_ Recovered_x000a_Amount" totalsRowFunction="sum" dataDxfId="221" totalsRowDxfId="220"/>
    <tableColumn id="10" name="Accounts Receivable_x000a_Balance" totalsRowFunction="sum" dataDxfId="219" totalsRowDxfId="218"/>
    <tableColumn id="11" name="Net_x000a_Balance" totalsRowFunction="sum" dataDxfId="217" totalsRowDxfId="2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23.xml><?xml version="1.0" encoding="utf-8"?>
<table xmlns="http://schemas.openxmlformats.org/spreadsheetml/2006/main" id="106" name="localunfundedgrandtotal" displayName="localunfundedgrandtotal" ref="A228:K247" totalsRowCount="1" headerRowDxfId="215" dataDxfId="213" totalsRowDxfId="211" headerRowBorderDxfId="214" tableBorderDxfId="212" headerRowCellStyle="Currency">
  <autoFilter ref="A228:K246"/>
  <tableColumns count="11">
    <tableColumn id="1" name="Program_x000a_Name" totalsRowLabel="Total Local Agencies" dataDxfId="210" totalsRowDxfId="209"/>
    <tableColumn id="2" name="Legal_x000a_Reference_x000a_(Ch./Year)" totalsRowLabel="N/A" dataDxfId="208" totalsRowDxfId="207"/>
    <tableColumn id="3" name="Program _x000a_Number" totalsRowLabel="N/A" dataDxfId="206" totalsRowDxfId="205"/>
    <tableColumn id="4" name="Fiscal_x000a_Year" totalsRowLabel="N/A" dataDxfId="204" totalsRowDxfId="203"/>
    <tableColumn id="5" name="Program_x000a_Costs" totalsRowFunction="sum" dataDxfId="202" totalsRowDxfId="201"/>
    <tableColumn id="6" name="Less: Net_x000a_Payments _x000a_and Offsets" totalsRowFunction="sum" dataDxfId="200" totalsRowDxfId="199"/>
    <tableColumn id="7" name="Accounts Payable_x000a_Balance" totalsRowFunction="sum" dataDxfId="198" totalsRowDxfId="197"/>
    <tableColumn id="8" name="Established_x000a_Accounts Receivable" totalsRowFunction="sum" dataDxfId="196" totalsRowDxfId="195"/>
    <tableColumn id="9" name="Less:_x000a_ Recovered_x000a_Amount" totalsRowFunction="sum" dataDxfId="194" totalsRowDxfId="193"/>
    <tableColumn id="10" name="Accounts Receivable_x000a_Balance" totalsRowFunction="sum" dataDxfId="192" totalsRowDxfId="191"/>
    <tableColumn id="11" name="Net_x000a_Balance" totalsRowFunction="sum" dataDxfId="190" totalsRowDxfId="18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 grand total."/>
    </ext>
  </extLst>
</table>
</file>

<file path=xl/tables/table124.xml><?xml version="1.0" encoding="utf-8"?>
<table xmlns="http://schemas.openxmlformats.org/spreadsheetml/2006/main" id="107" name="totalunfunded" displayName="totalunfunded" ref="A249:K251" totalsRowCount="1" headerRowDxfId="188" dataDxfId="186" totalsRowDxfId="184" headerRowBorderDxfId="187" tableBorderDxfId="185" headerRowCellStyle="Currency">
  <autoFilter ref="A249:K250"/>
  <tableColumns count="11">
    <tableColumn id="1" name="Program_x000a_Name" totalsRowLabel="Total Unfunded Mandates 8" dataDxfId="183" totalsRowDxfId="10" dataCellStyle="Hyperlink"/>
    <tableColumn id="2" name="Legal_x000a_Reference_x000a_(Ch./Year)" totalsRowLabel="Comment: There are no unfunded school district and community college district state-mandated programs." dataDxfId="182" totalsRowDxfId="9"/>
    <tableColumn id="3" name="Program _x000a_Number" totalsRowLabel="N/A" dataDxfId="181" totalsRowDxfId="8"/>
    <tableColumn id="4" name="Fiscal_x000a_Year" totalsRowLabel="N/A" dataDxfId="180" totalsRowDxfId="7"/>
    <tableColumn id="5" name="Program_x000a_Costs" totalsRowFunction="sum" dataDxfId="179" totalsRowDxfId="6"/>
    <tableColumn id="6" name="Less: Net_x000a_Payments _x000a_and Offsets" totalsRowFunction="sum" dataDxfId="178" totalsRowDxfId="5"/>
    <tableColumn id="7" name="Accounts Payable_x000a_Balance" totalsRowFunction="sum" dataDxfId="177" totalsRowDxfId="4"/>
    <tableColumn id="8" name="Established_x000a_Accounts Receivable" totalsRowFunction="sum" dataDxfId="176" totalsRowDxfId="3"/>
    <tableColumn id="9" name="Less:_x000a_ Recovered_x000a_Amount" totalsRowFunction="sum" dataDxfId="175" totalsRowDxfId="2"/>
    <tableColumn id="10" name="Accounts Receivable_x000a_Balance" totalsRowFunction="sum" dataDxfId="174" totalsRowDxfId="1"/>
    <tableColumn id="11" name="Net_x000a_Balance" totalsRowFunction="sum" dataDxfId="173" totalsRowDxfId="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Total unfunded mandates."/>
    </ext>
  </extLst>
</table>
</file>

<file path=xl/tables/table125.xml><?xml version="1.0" encoding="utf-8"?>
<table xmlns="http://schemas.openxmlformats.org/spreadsheetml/2006/main" id="129" name="local259130" displayName="local259130" ref="A7:K11" totalsRowCount="1" headerRowDxfId="172" dataDxfId="170" totalsRowDxfId="168" headerRowBorderDxfId="171" tableBorderDxfId="169" headerRowCellStyle="Currency">
  <autoFilter ref="A7:K10"/>
  <tableColumns count="11">
    <tableColumn id="1" name="Program_x000a_Name" totalsRowLabel="Local Elections: Consolidation Total" dataDxfId="167" totalsRowDxfId="166"/>
    <tableColumn id="2" name="Legal_x000a_Reference_x000a_(Ch./Year)" totalsRowLabel="N/A" dataDxfId="165" totalsRowDxfId="164"/>
    <tableColumn id="3" name="Program _x000a_Number" totalsRowLabel="N/A" dataDxfId="163" totalsRowDxfId="162"/>
    <tableColumn id="4" name="Fiscal_x000a_Year" totalsRowLabel="N/A" dataDxfId="161" totalsRowDxfId="160"/>
    <tableColumn id="5" name="Program_x000a_Costs" totalsRowFunction="sum" dataDxfId="159" totalsRowDxfId="158"/>
    <tableColumn id="6" name="Less: Net_x000a_Payments _x000a_and Offsets" totalsRowFunction="sum" dataDxfId="157" totalsRowDxfId="156"/>
    <tableColumn id="7" name="Accounts Payable_x000a_Balance" totalsRowFunction="sum" dataDxfId="155" totalsRowDxfId="154"/>
    <tableColumn id="8" name="Established_x000a_Accounts Receivable" totalsRowFunction="sum" dataDxfId="153" totalsRowDxfId="152"/>
    <tableColumn id="9" name="Less:_x000a_ Recovered_x000a_Amount" totalsRowFunction="sum" dataDxfId="151" totalsRowDxfId="150"/>
    <tableColumn id="10" name="Accounts Receivable_x000a_Balance" totalsRowFunction="sum" dataDxfId="149" totalsRowDxfId="148"/>
    <tableColumn id="11" name="Net_x000a_Balance" totalsRowFunction="sum" dataDxfId="147" totalsRowDxfId="1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Deficiency Report" altTextSummary="Schedule B2: Detail of Unfunded State-Mandated Programs. As of April 1, 2022. Local Agencies."/>
    </ext>
  </extLst>
</table>
</file>

<file path=xl/tables/table13.xml><?xml version="1.0" encoding="utf-8"?>
<table xmlns="http://schemas.openxmlformats.org/spreadsheetml/2006/main" id="108" name="scheduleblocalfunded" displayName="scheduleblocalfunded" ref="A2:P5" totalsRowCount="1" headerRowDxfId="3310" dataDxfId="3308" totalsRowDxfId="3306" headerRowBorderDxfId="3309" tableBorderDxfId="3307" totalsRowBorderDxfId="3305">
  <autoFilter ref="A2:P4"/>
  <tableColumns count="16">
    <tableColumn id="1" name="Program_x000a_Category" totalsRowLabel="Total Local Agencies" dataDxfId="3304" totalsRowDxfId="94"/>
    <tableColumn id="2" name="N/A" totalsRowLabel="N/A" dataDxfId="3303" totalsRowDxfId="93"/>
    <tableColumn id="3" name="Fiscal_x000a_Year" totalsRowLabel="N/A" dataDxfId="3302" totalsRowDxfId="92"/>
    <tableColumn id="4" name="Schedules" totalsRowLabel="N/A" dataDxfId="3301" totalsRowDxfId="91"/>
    <tableColumn id="5" name="Program_x000a_Costs" totalsRowFunction="sum" dataDxfId="3300" totalsRowDxfId="90"/>
    <tableColumn id="6" name="Less: Net Payments and Offsets" totalsRowFunction="sum" dataDxfId="3299" totalsRowDxfId="89"/>
    <tableColumn id="7" name="N/A2" totalsRowLabel="N/A" totalsRowDxfId="88"/>
    <tableColumn id="8" name="Accounts Payable_x000a_Balance 3" totalsRowFunction="sum" dataDxfId="3298" totalsRowDxfId="87"/>
    <tableColumn id="9" name="Comment: Amount due to local agencies, school districts, and community college districts." totalsRowLabel="N/A" dataDxfId="3297" totalsRowDxfId="86"/>
    <tableColumn id="10" name="Established_x000a_Accounts_x000a_Receivable 4" totalsRowFunction="sum" dataDxfId="3296" totalsRowDxfId="85"/>
    <tableColumn id="11" name="Comment: Total accounts receivable established due to desk reviews and field audit claim adjustments." totalsRowLabel="N/A" dataDxfId="3295" totalsRowDxfId="84"/>
    <tableColumn id="12" name="Less: Recovered_x000a_Amount" totalsRowFunction="sum" dataDxfId="3294" totalsRowDxfId="83"/>
    <tableColumn id="13" name="Accounts Receivable_x000a_Balance 5" totalsRowFunction="sum" dataDxfId="3293" totalsRowDxfId="82"/>
    <tableColumn id="14" name="Comment: Amount due from local agencies, school districts (includes ineligible charter schools), and community college districts." totalsRowLabel="N/A" dataDxfId="3292" totalsRowDxfId="81"/>
    <tableColumn id="15" name="Net_x000a_Balance 6" totalsRowFunction="sum" dataDxfId="3291" totalsRowDxfId="80"/>
    <tableColumn id="16" name="Comment: Net amount of deficiencies and surpluses (A/P Balance less A/R Balance equals Net Balance)." totalsRowLabel="N/A" dataDxfId="3290" totalsRowDxfId="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Local Agencies-Funded."/>
    </ext>
  </extLst>
</table>
</file>

<file path=xl/tables/table14.xml><?xml version="1.0" encoding="utf-8"?>
<table xmlns="http://schemas.openxmlformats.org/spreadsheetml/2006/main" id="109" name="schedulebsdandccdfunded" displayName="schedulebsdandccdfunded" ref="A7:P11" totalsRowCount="1" headerRowDxfId="3289" dataDxfId="3287" totalsRowDxfId="3285" headerRowBorderDxfId="3288" tableBorderDxfId="3286" totalsRowBorderDxfId="3284">
  <autoFilter ref="A7:P10"/>
  <tableColumns count="16">
    <tableColumn id="1" name="Program_x000a_Category" totalsRowLabel="Total School Districts and Community College Districts" dataDxfId="3283" totalsRowDxfId="78"/>
    <tableColumn id="2" name="Comment" totalsRowLabel="N/A" dataDxfId="3282" totalsRowDxfId="77"/>
    <tableColumn id="3" name="Fiscal_x000a_Year" totalsRowLabel="N/A" dataDxfId="3281" totalsRowDxfId="76"/>
    <tableColumn id="4" name="Schedules" totalsRowLabel="N/A" dataDxfId="3280" totalsRowDxfId="75"/>
    <tableColumn id="5" name="Program_x000a_Costs" totalsRowFunction="sum" dataDxfId="3279" totalsRowDxfId="74"/>
    <tableColumn id="6" name="Less: Net Payments and Offsets" totalsRowFunction="sum" dataDxfId="3278" totalsRowDxfId="73"/>
    <tableColumn id="7" name="Comment1" totalsRowLabel="N/A" dataDxfId="3277" totalsRowDxfId="72"/>
    <tableColumn id="8" name="Accounts Payable_x000a_Balance 3" totalsRowFunction="sum" dataDxfId="3276" totalsRowDxfId="71"/>
    <tableColumn id="9" name="Comment3" totalsRowLabel="N/A" dataDxfId="3275" totalsRowDxfId="70"/>
    <tableColumn id="10" name="Established_x000a_Accounts _x000a_Receivable 4" totalsRowFunction="sum" dataDxfId="3274" totalsRowDxfId="69"/>
    <tableColumn id="11" name="Comment4" totalsRowLabel="N/A" dataDxfId="3273" totalsRowDxfId="68"/>
    <tableColumn id="12" name="Less: Recovered_x000a_Amount" totalsRowFunction="sum" dataDxfId="3272" totalsRowDxfId="67"/>
    <tableColumn id="13" name="Accounts Receivable_x000a_Balance 5" totalsRowFunction="sum" dataDxfId="3271" totalsRowDxfId="66"/>
    <tableColumn id="14" name="Comment5" totalsRowLabel="N/A" dataDxfId="3270" totalsRowDxfId="65"/>
    <tableColumn id="15" name="Net_x000a_Balance 6" totalsRowFunction="sum" dataDxfId="3269" totalsRowDxfId="64"/>
    <tableColumn id="16" name="Comment6" totalsRowLabel="N/A" dataDxfId="3268" totalsRowDxfId="63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School District and Community College Districts-Funded."/>
    </ext>
  </extLst>
</table>
</file>

<file path=xl/tables/table15.xml><?xml version="1.0" encoding="utf-8"?>
<table xmlns="http://schemas.openxmlformats.org/spreadsheetml/2006/main" id="110" name="schedulebfunded" displayName="schedulebfunded" ref="A13:P17" totalsRowCount="1" headerRowDxfId="3267" dataDxfId="3265" totalsRowDxfId="3263" headerRowBorderDxfId="3266" tableBorderDxfId="3264" totalsRowBorderDxfId="3262">
  <autoFilter ref="A13:P16"/>
  <tableColumns count="16">
    <tableColumn id="1" name="Program_x000a_Category" totalsRowLabel="Total Schedule B1: Funded Mandates 7" dataDxfId="3261" totalsRowDxfId="110" dataCellStyle="Hyperlink"/>
    <tableColumn id="2" name="Comment" totalsRowLabel="Comment: State-mandated programs appropriated for payments in the Budget Act (funded) and programs without appropriations (unfunded)." dataDxfId="3260" totalsRowDxfId="109"/>
    <tableColumn id="3" name="Fiscal_x000a_Year" totalsRowLabel="N/A" dataDxfId="3259" totalsRowDxfId="108"/>
    <tableColumn id="4" name="Schedules" totalsRowLabel="N/A" dataDxfId="3258" totalsRowDxfId="107"/>
    <tableColumn id="5" name="Program_x000a_Costs" totalsRowFunction="sum" dataDxfId="3257" totalsRowDxfId="106"/>
    <tableColumn id="6" name="Less: Net Payments and Offsets" totalsRowFunction="sum" dataDxfId="3256" totalsRowDxfId="105"/>
    <tableColumn id="7" name="Comment1" totalsRowLabel="N/A" dataDxfId="3255" totalsRowDxfId="104"/>
    <tableColumn id="8" name="Accounts Payable_x000a_Balance 3" totalsRowFunction="sum" dataDxfId="3254" totalsRowDxfId="103"/>
    <tableColumn id="9" name="Comment3" totalsRowLabel="N/A" dataDxfId="3253" totalsRowDxfId="102"/>
    <tableColumn id="10" name="Established_x000a_Accounts _x000a_Receivable 4" totalsRowFunction="sum" dataDxfId="3252" totalsRowDxfId="101"/>
    <tableColumn id="11" name="Comment4" totalsRowLabel="N/A" dataDxfId="3251" totalsRowDxfId="100"/>
    <tableColumn id="12" name="Less: Recovered_x000a_Amount" totalsRowFunction="sum" dataDxfId="3250" totalsRowDxfId="99"/>
    <tableColumn id="13" name="Accounts Receivable_x000a_Balance 5" totalsRowFunction="sum" dataDxfId="3249" totalsRowDxfId="98"/>
    <tableColumn id="14" name="Comment5" totalsRowLabel="N/A" dataDxfId="3248" totalsRowDxfId="97"/>
    <tableColumn id="15" name="Net_x000a_Balance 6" totalsRowFunction="sum" dataDxfId="3247" totalsRowDxfId="96"/>
    <tableColumn id="16" name="Comment6" totalsRowLabel="N/A" dataDxfId="3246" totalsRowDxfId="9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Total Funded."/>
    </ext>
  </extLst>
</table>
</file>

<file path=xl/tables/table16.xml><?xml version="1.0" encoding="utf-8"?>
<table xmlns="http://schemas.openxmlformats.org/spreadsheetml/2006/main" id="111" name="scheduleblocalunfunded" displayName="scheduleblocalunfunded" ref="A19:P22" totalsRowCount="1" headerRowDxfId="3245" dataDxfId="3243" totalsRowDxfId="3241" headerRowBorderDxfId="3244" tableBorderDxfId="3242" totalsRowBorderDxfId="3240">
  <autoFilter ref="A19:P21"/>
  <tableColumns count="16">
    <tableColumn id="1" name="Program_x000a_Category" totalsRowLabel="Total Local Agencies" dataDxfId="3239" totalsRowDxfId="3238"/>
    <tableColumn id="2" name="Comment" totalsRowLabel="N/A" dataDxfId="3237" totalsRowDxfId="3236"/>
    <tableColumn id="3" name="Fiscal_x000a_Year" totalsRowLabel="N/A" dataDxfId="3235" totalsRowDxfId="3234"/>
    <tableColumn id="4" name="Schedules" totalsRowLabel="N/A" dataDxfId="3233" totalsRowDxfId="3232"/>
    <tableColumn id="5" name="Program_x000a_Costs" totalsRowFunction="sum" dataDxfId="3231" totalsRowDxfId="3230"/>
    <tableColumn id="6" name="Less: Net Payments and Offsets" totalsRowFunction="sum" dataDxfId="3229" totalsRowDxfId="3228"/>
    <tableColumn id="7" name="Comment1" totalsRowLabel="N/A" dataDxfId="3227" totalsRowDxfId="3226"/>
    <tableColumn id="8" name="Accounts Payable_x000a_Balance 3" totalsRowFunction="sum" dataDxfId="3225" totalsRowDxfId="3224"/>
    <tableColumn id="9" name="Comment3" totalsRowLabel="N/A" dataDxfId="3223" totalsRowDxfId="3222"/>
    <tableColumn id="10" name="Established_x000a_Accounts _x000a_Receivable 4" totalsRowFunction="sum" dataDxfId="3221" totalsRowDxfId="3220"/>
    <tableColumn id="11" name="Comment4" totalsRowLabel="N/A" dataDxfId="3219" totalsRowDxfId="3218"/>
    <tableColumn id="12" name="Less: Recovered_x000a_Amount" totalsRowFunction="sum" dataDxfId="3217" totalsRowDxfId="3216"/>
    <tableColumn id="13" name="Accounts Receivable_x000a_Balance 5" totalsRowFunction="sum" dataDxfId="3215" totalsRowDxfId="3214"/>
    <tableColumn id="14" name="Comment5" totalsRowLabel="N/A" dataDxfId="3213" totalsRowDxfId="3212"/>
    <tableColumn id="15" name="Net_x000a_Balance 6" totalsRowFunction="sum" dataDxfId="3211" totalsRowDxfId="3210"/>
    <tableColumn id="16" name="Comment6" totalsRowLabel="N/A" dataDxfId="3209" totalsRowDxfId="320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Local Agencies-Unfunded."/>
    </ext>
  </extLst>
</table>
</file>

<file path=xl/tables/table17.xml><?xml version="1.0" encoding="utf-8"?>
<table xmlns="http://schemas.openxmlformats.org/spreadsheetml/2006/main" id="112" name="schedulebunfunded" displayName="schedulebunfunded" ref="A24:P26" totalsRowCount="1" headerRowDxfId="3207" dataDxfId="3205" totalsRowDxfId="3203" headerRowBorderDxfId="3206" tableBorderDxfId="3204" totalsRowBorderDxfId="3202">
  <autoFilter ref="A24:P25"/>
  <tableColumns count="16">
    <tableColumn id="1" name="Program_x000a_Category" totalsRowLabel="Total Schedule B2: Unfunded Mandates 7, 8" dataDxfId="3201" totalsRowDxfId="62" dataCellStyle="Hyperlink"/>
    <tableColumn id="2" name="Comment" totalsRowLabel="Comment: State-mandated programs appropriated for payments in the Budget Act (funded) and programs without appropriations (unfunded). There are no unfunded school district and community college district state-mandated programs." dataDxfId="3200" totalsRowDxfId="61"/>
    <tableColumn id="3" name="Fiscal_x000a_Year" totalsRowLabel="N/A" dataDxfId="3199" totalsRowDxfId="60"/>
    <tableColumn id="4" name="Schedules" totalsRowLabel="N/A" dataDxfId="3198" totalsRowDxfId="59"/>
    <tableColumn id="5" name="Program_x000a_Costs" totalsRowFunction="sum" dataDxfId="3197" totalsRowDxfId="58"/>
    <tableColumn id="6" name="Less: Net Payments and Offsets" totalsRowFunction="sum" dataDxfId="3196" totalsRowDxfId="57"/>
    <tableColumn id="7" name="Comment1" totalsRowLabel="N/A" dataDxfId="3195" totalsRowDxfId="56"/>
    <tableColumn id="8" name="Accounts Payable_x000a_Balance 3" totalsRowFunction="sum" dataDxfId="3194" totalsRowDxfId="55"/>
    <tableColumn id="9" name="Comment3" totalsRowLabel="N/A" dataDxfId="3193" totalsRowDxfId="54"/>
    <tableColumn id="10" name="Established_x000a_Accounts _x000a_Receivable 4" totalsRowFunction="sum" dataDxfId="3192" totalsRowDxfId="53"/>
    <tableColumn id="11" name="Comment4" totalsRowLabel="N/A" dataDxfId="3191" totalsRowDxfId="52"/>
    <tableColumn id="12" name="Less: Recovered_x000a_Amount" totalsRowFunction="sum" dataDxfId="3190" totalsRowDxfId="51"/>
    <tableColumn id="13" name="Accounts Receivable_x000a_Balance 5" totalsRowFunction="sum" dataDxfId="3189" totalsRowDxfId="50"/>
    <tableColumn id="14" name="Comment5" totalsRowLabel="N/A" dataDxfId="3188" totalsRowDxfId="49"/>
    <tableColumn id="15" name="Net_x000a_Balance 6" totalsRowFunction="sum" dataDxfId="3187" totalsRowDxfId="48"/>
    <tableColumn id="16" name="Comment6" totalsRowLabel="N/A" dataDxfId="3186" totalsRowDxfId="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Total Unfunded."/>
    </ext>
  </extLst>
</table>
</file>

<file path=xl/tables/table18.xml><?xml version="1.0" encoding="utf-8"?>
<table xmlns="http://schemas.openxmlformats.org/spreadsheetml/2006/main" id="113" name="schedulebgrandtotal" displayName="schedulebgrandtotal" ref="A28:P32" totalsRowCount="1" headerRowDxfId="3185" dataDxfId="3183" totalsRowDxfId="3181" headerRowBorderDxfId="3184" tableBorderDxfId="3182" totalsRowBorderDxfId="3180">
  <autoFilter ref="A28:P31"/>
  <tableColumns count="16">
    <tableColumn id="1" name="Program_x000a_Category" totalsRowLabel="Grand Total Local Agencies, School Districts, and Community College Districts" dataDxfId="3179" totalsRowDxfId="3178"/>
    <tableColumn id="2" name="Comment" totalsRowLabel="N/A" dataDxfId="3177" totalsRowDxfId="3176"/>
    <tableColumn id="3" name="Fiscal_x000a_Year" totalsRowLabel="N/A" dataDxfId="3175" totalsRowDxfId="3174"/>
    <tableColumn id="4" name="Schedules" totalsRowLabel="N/A" dataDxfId="3173" totalsRowDxfId="3172"/>
    <tableColumn id="5" name="Program_x000a_Costs" totalsRowFunction="sum" dataDxfId="3171" totalsRowDxfId="3170"/>
    <tableColumn id="6" name="Less: Net Payments and Offsets" totalsRowFunction="sum" dataDxfId="3169" totalsRowDxfId="3168"/>
    <tableColumn id="7" name="Comment1" totalsRowLabel="N/A" dataDxfId="3167" totalsRowDxfId="3166"/>
    <tableColumn id="8" name="Accounts Payable_x000a_Balance 3" totalsRowFunction="sum" dataDxfId="3165" totalsRowDxfId="3164"/>
    <tableColumn id="9" name="Comment3" totalsRowLabel="N/A" dataDxfId="3163" totalsRowDxfId="3162"/>
    <tableColumn id="10" name="Established_x000a_Accounts _x000a_Receivable 4" totalsRowFunction="sum" dataDxfId="3161" totalsRowDxfId="3160"/>
    <tableColumn id="11" name="Comment4" totalsRowLabel="N/A" dataDxfId="3159" totalsRowDxfId="3158"/>
    <tableColumn id="12" name="Less: Recovered_x000a_Amount" totalsRowFunction="sum" dataDxfId="3157" totalsRowDxfId="3156"/>
    <tableColumn id="13" name="Accounts Receivable_x000a_Balance 5" totalsRowFunction="sum" dataDxfId="3155" totalsRowDxfId="3154"/>
    <tableColumn id="14" name="Comment5" totalsRowLabel="N/A" dataDxfId="3153" totalsRowDxfId="3152"/>
    <tableColumn id="15" name="Net_x000a_Balance 6" totalsRowFunction="sum" dataDxfId="3151" totalsRowDxfId="3150"/>
    <tableColumn id="16" name="Comment6" totalsRowLabel="N/A" dataDxfId="3149" totalsRowDxfId="31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: Summary of Funded and Unfunded State-Mandated Programs. As of April 1, 2023. Grand total."/>
    </ext>
  </extLst>
</table>
</file>

<file path=xl/tables/table19.xml><?xml version="1.0" encoding="utf-8"?>
<table xmlns="http://schemas.openxmlformats.org/spreadsheetml/2006/main" id="30" name="local202021" displayName="local202021" ref="A2:L26" totalsRowCount="1" headerRowDxfId="3147" dataDxfId="3145" totalsRowDxfId="3143" headerRowBorderDxfId="3146" tableBorderDxfId="3144" totalsRowBorderDxfId="3142" headerRowCellStyle="Currency">
  <autoFilter ref="A2:L25"/>
  <tableColumns count="12">
    <tableColumn id="1" name="Fiscal_x000a_Year" totalsRowLabel="2021-22 Total" dataDxfId="3141" totalsRowDxfId="46"/>
    <tableColumn id="2" name="Program_x000a_Name" totalsRowLabel="N/A       " dataDxfId="3140" totalsRowDxfId="45"/>
    <tableColumn id="3" name="Legal_x000a_Reference_x000a_(Ch./Year)" totalsRowLabel="N/A       " dataDxfId="3139" totalsRowDxfId="44"/>
    <tableColumn id="4" name="Program_x000a_Number" totalsRowLabel="N/A       " dataDxfId="3138" totalsRowDxfId="43"/>
    <tableColumn id="5" name="Program_x000a_Costs" totalsRowFunction="sum" dataDxfId="3137" totalsRowDxfId="42"/>
    <tableColumn id="6" name="Less: Net _x000a_Payments_x000a_ and Offsets 1" totalsRowFunction="sum" dataDxfId="3136" totalsRowDxfId="41"/>
    <tableColumn id="7" name="Comment: Local agencies do not receive funding offsets." totalsRowLabel="N/A       " dataDxfId="3135" totalsRowDxfId="40"/>
    <tableColumn id="8" name="Accounts Payable_x000a_Balance" totalsRowFunction="sum" dataDxfId="3134" totalsRowDxfId="39"/>
    <tableColumn id="9" name="Established_x000a_Accounts Receivable" totalsRowFunction="sum" dataDxfId="3133" totalsRowDxfId="38"/>
    <tableColumn id="10" name="Less: _x000a_Recovered _x000a_Amount" totalsRowFunction="sum" dataDxfId="3132" totalsRowDxfId="37"/>
    <tableColumn id="11" name="Accounts Receivable_x000a_Balance" totalsRowFunction="sum" dataDxfId="3131" totalsRowDxfId="36"/>
    <tableColumn id="12" name="Net_x000a_Balance" totalsRowFunction="sum" dataDxfId="3130" totalsRowDxfId="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.xml><?xml version="1.0" encoding="utf-8"?>
<table xmlns="http://schemas.openxmlformats.org/spreadsheetml/2006/main" id="122" name="dmvnongeneralfund" displayName="dmvnongeneralfund" ref="A8:M12" totalsRowCount="1" dataDxfId="3582" totalsRowDxfId="3580" headerRowBorderDxfId="3583" tableBorderDxfId="3581" totalsRowBorderDxfId="3579">
  <autoFilter ref="A8:M11"/>
  <tableColumns count="13">
    <tableColumn id="1" name="Program Category_x000a_ and Fund" totalsRowLabel="Motor Vehicle Account-Non-General Fund Total" dataDxfId="3578" totalsRowDxfId="3577"/>
    <tableColumn id="2" name="Appropriation_x000a_Number" totalsRowLabel="N/A" dataDxfId="3576" totalsRowDxfId="3575"/>
    <tableColumn id="3" name="Legal_x000a_Reference_x000a_(Ch./Year)" totalsRowLabel="N/A" dataDxfId="3574" totalsRowDxfId="3573"/>
    <tableColumn id="4" name="Fiscal Year of_x000a_Claims Paid" totalsRowLabel="N/A" dataDxfId="3572" totalsRowDxfId="3571"/>
    <tableColumn id="5" name="Reversion Date" totalsRowLabel="N/A" dataDxfId="3570" totalsRowDxfId="3569"/>
    <tableColumn id="6" name="Original_x000a_Appropriation_x000a_Amount" totalsRowFunction="sum" dataDxfId="3568" totalsRowDxfId="3567" dataCellStyle="Currency"/>
    <tableColumn id="7" name="Appropriation Balances1 " totalsRowFunction="sum" dataDxfId="3566" totalsRowDxfId="3565" dataCellStyle="Currency"/>
    <tableColumn id="8" name="Comment" totalsRowLabel="N/A" dataDxfId="3564" totalsRowDxfId="3563"/>
    <tableColumn id="9" name="Budget Adjustments" totalsRowFunction="sum" dataDxfId="3562" totalsRowDxfId="3561" dataCellStyle="Currency"/>
    <tableColumn id="10" name="N/A" totalsRowLabel=" N/A " dataDxfId="3560" totalsRowDxfId="3559"/>
    <tableColumn id="11" name="Add: Receipts_x000a_and Recovered_x000a_Amounts" totalsRowFunction="sum" dataDxfId="3558" totalsRowDxfId="3557" dataCellStyle="Currency"/>
    <tableColumn id="12" name="Less: Mandated Program Payments, Offsets, and Interest (see Schedule A1)" totalsRowFunction="sum" dataDxfId="3556" totalsRowDxfId="3555" dataCellStyle="Currency"/>
    <tableColumn id="13" name="Appropriation_x000a_Balances_x000a_as of 4/1/2023" totalsRowFunction="sum" dataDxfId="3554" totalsRowDxfId="3553">
      <calculatedColumnFormula>G9+K9-L9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For Motor Vehicle Account-Non General Fund."/>
    </ext>
  </extLst>
</table>
</file>

<file path=xl/tables/table20.xml><?xml version="1.0" encoding="utf-8"?>
<table xmlns="http://schemas.openxmlformats.org/spreadsheetml/2006/main" id="31" name="local201920" displayName="local201920" ref="A28:L46" totalsRowCount="1" headerRowDxfId="3129" dataDxfId="3127" totalsRowDxfId="3125" headerRowBorderDxfId="3128" tableBorderDxfId="3126" totalsRowBorderDxfId="3124" headerRowCellStyle="Currency">
  <autoFilter ref="A28:L45"/>
  <tableColumns count="12">
    <tableColumn id="1" name="Fiscal_x000a_Year" totalsRowLabel="2020-21 Total" dataDxfId="3123" totalsRowDxfId="3122"/>
    <tableColumn id="2" name="Program_x000a_Name" totalsRowLabel="N/A       " dataDxfId="3121" totalsRowDxfId="3120"/>
    <tableColumn id="3" name="Legal_x000a_Reference_x000a_(Ch./Year)" totalsRowLabel="N/A       " dataDxfId="3119" totalsRowDxfId="3118"/>
    <tableColumn id="4" name="Program_x000a_Number" totalsRowLabel="N/A       " dataDxfId="3117" totalsRowDxfId="3116"/>
    <tableColumn id="5" name="Program_x000a_Costs" totalsRowFunction="sum" dataDxfId="3115"/>
    <tableColumn id="6" name="Less: Net _x000a_Payments_x000a_ and Offsets 1" totalsRowFunction="sum" dataDxfId="3114"/>
    <tableColumn id="7" name="Comment" totalsRowLabel="N/A       " dataDxfId="3113"/>
    <tableColumn id="8" name="Accounts Payable_x000a_Balance" totalsRowFunction="sum" dataDxfId="3112"/>
    <tableColumn id="9" name="Established_x000a_Accounts Receivable" totalsRowFunction="sum" dataDxfId="3111"/>
    <tableColumn id="10" name="Less: _x000a_Recovered _x000a_Amount" totalsRowFunction="sum" dataDxfId="3110"/>
    <tableColumn id="11" name="Accounts Receivable_x000a_Balance" totalsRowFunction="sum" dataDxfId="3109"/>
    <tableColumn id="12" name="Net_x000a_Balance" totalsRowFunction="sum" dataDxfId="310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1.xml><?xml version="1.0" encoding="utf-8"?>
<table xmlns="http://schemas.openxmlformats.org/spreadsheetml/2006/main" id="32" name="local201819" displayName="local201819" ref="A48:L66" totalsRowCount="1" headerRowDxfId="3107" dataDxfId="3105" totalsRowDxfId="3103" headerRowBorderDxfId="3106" tableBorderDxfId="3104" totalsRowBorderDxfId="3102" headerRowCellStyle="Currency">
  <autoFilter ref="A48:L65"/>
  <tableColumns count="12">
    <tableColumn id="1" name="Fiscal_x000a_Year" totalsRowLabel="2019-20 Total" dataDxfId="3101" totalsRowDxfId="3100"/>
    <tableColumn id="2" name="Program_x000a_Name" totalsRowLabel="N/A       " dataDxfId="3099" totalsRowDxfId="3098"/>
    <tableColumn id="3" name="Legal_x000a_Reference_x000a_(Ch./Year)" totalsRowLabel="N/A       " dataDxfId="3097" totalsRowDxfId="3096"/>
    <tableColumn id="4" name="Program_x000a_Number" totalsRowLabel="N/A       " dataDxfId="3095" totalsRowDxfId="3094"/>
    <tableColumn id="5" name="Program_x000a_Costs" totalsRowFunction="sum" dataDxfId="3093" totalsRowDxfId="3092"/>
    <tableColumn id="6" name="Less: Net _x000a_Payments_x000a_ and Offsets 1" totalsRowFunction="sum" dataDxfId="3091" totalsRowDxfId="3090"/>
    <tableColumn id="7" name="Comment" totalsRowLabel="N/A       " dataDxfId="3089" totalsRowDxfId="3088"/>
    <tableColumn id="8" name="Accounts Payable_x000a_Balance" totalsRowFunction="sum" dataDxfId="3087" totalsRowDxfId="3086"/>
    <tableColumn id="9" name="Established_x000a_Accounts Receivable" totalsRowFunction="sum" dataDxfId="3085" totalsRowDxfId="3084"/>
    <tableColumn id="10" name="Less: _x000a_Recovered _x000a_Amount" totalsRowFunction="sum" dataDxfId="3083" totalsRowDxfId="3082"/>
    <tableColumn id="11" name="Accounts Receivable_x000a_Balance" totalsRowFunction="sum" dataDxfId="3081" totalsRowDxfId="3080"/>
    <tableColumn id="12" name="Net_x000a_Balance" totalsRowFunction="sum" dataDxfId="3079" totalsRowDxfId="30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2.xml><?xml version="1.0" encoding="utf-8"?>
<table xmlns="http://schemas.openxmlformats.org/spreadsheetml/2006/main" id="33" name="local201718" displayName="local201718" ref="A68:L83" totalsRowCount="1" headerRowDxfId="3077" dataDxfId="3075" totalsRowDxfId="3073" headerRowBorderDxfId="3076" tableBorderDxfId="3074" totalsRowBorderDxfId="3072" headerRowCellStyle="Currency">
  <autoFilter ref="A68:L82"/>
  <tableColumns count="12">
    <tableColumn id="1" name="Fiscal_x000a_Year" totalsRowLabel="2018-19 Total" dataDxfId="3071" totalsRowDxfId="3070"/>
    <tableColumn id="2" name="Program_x000a_Name" totalsRowLabel="N/A       " dataDxfId="3069" totalsRowDxfId="3068"/>
    <tableColumn id="3" name="Legal_x000a_Reference_x000a_(Ch./Year)" totalsRowLabel="N/A       " dataDxfId="3067" totalsRowDxfId="3066"/>
    <tableColumn id="4" name="Program_x000a_Number" totalsRowLabel="N/A       " dataDxfId="3065" totalsRowDxfId="3064"/>
    <tableColumn id="5" name="Program_x000a_Costs" totalsRowFunction="sum" dataDxfId="3063" totalsRowDxfId="3062"/>
    <tableColumn id="6" name="Less: Net _x000a_Payments_x000a_ and Offsets 1" totalsRowFunction="sum" dataDxfId="3061" totalsRowDxfId="3060"/>
    <tableColumn id="7" name="Comment" totalsRowLabel="N/A       " dataDxfId="3059" totalsRowDxfId="3058"/>
    <tableColumn id="8" name="Accounts Payable_x000a_Balance" totalsRowFunction="sum" dataDxfId="3057" totalsRowDxfId="3056"/>
    <tableColumn id="9" name="Established_x000a_Accounts Receivable" totalsRowFunction="sum" dataDxfId="3055" totalsRowDxfId="3054"/>
    <tableColumn id="10" name="Less: _x000a_Recovered _x000a_Amount" totalsRowFunction="sum" dataDxfId="3053" totalsRowDxfId="3052"/>
    <tableColumn id="11" name="Accounts Receivable_x000a_Balance" totalsRowFunction="sum" dataDxfId="3051" totalsRowDxfId="3050"/>
    <tableColumn id="12" name="Net_x000a_Balance" totalsRowFunction="sum" dataDxfId="3049" totalsRowDxfId="30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3.xml><?xml version="1.0" encoding="utf-8"?>
<table xmlns="http://schemas.openxmlformats.org/spreadsheetml/2006/main" id="34" name="local201617" displayName="local201617" ref="A85:L92" totalsRowCount="1" headerRowDxfId="3047" dataDxfId="3045" totalsRowDxfId="3043" headerRowBorderDxfId="3046" tableBorderDxfId="3044" totalsRowBorderDxfId="3042" headerRowCellStyle="Currency">
  <autoFilter ref="A85:L91"/>
  <tableColumns count="12">
    <tableColumn id="1" name="Fiscal_x000a_Year" totalsRowLabel="2017-18 Total" dataDxfId="3041" totalsRowDxfId="3040"/>
    <tableColumn id="2" name="Program_x000a_Name" totalsRowLabel="N/A       " dataDxfId="3039" totalsRowDxfId="3038"/>
    <tableColumn id="3" name="Legal_x000a_Reference_x000a_(Ch./Year)" totalsRowLabel="N/A       " dataDxfId="3037" totalsRowDxfId="3036"/>
    <tableColumn id="4" name="Program_x000a_Number" totalsRowLabel="N/A       " dataDxfId="3035" totalsRowDxfId="3034"/>
    <tableColumn id="5" name="Program_x000a_Costs" totalsRowFunction="sum" dataDxfId="3033" totalsRowDxfId="3032"/>
    <tableColumn id="6" name="Less: Net _x000a_Payments_x000a_ and Offsets 1" totalsRowFunction="sum" dataDxfId="3031" totalsRowDxfId="3030"/>
    <tableColumn id="7" name="Comment" totalsRowLabel="N/A       " dataDxfId="3029" totalsRowDxfId="3028"/>
    <tableColumn id="8" name="Accounts Payable_x000a_Balance" totalsRowFunction="sum" dataDxfId="3027" totalsRowDxfId="3026"/>
    <tableColumn id="9" name="Established_x000a_Accounts Receivable" totalsRowFunction="sum" dataDxfId="3025" totalsRowDxfId="3024"/>
    <tableColumn id="10" name="Less: _x000a_Recovered _x000a_Amount" totalsRowFunction="sum" dataDxfId="3023" totalsRowDxfId="3022"/>
    <tableColumn id="11" name="Accounts Receivable_x000a_Balance" totalsRowFunction="sum" dataDxfId="3021" totalsRowDxfId="3020"/>
    <tableColumn id="12" name="Net_x000a_Balance" totalsRowFunction="sum" dataDxfId="3019" totalsRowDxfId="301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4.xml><?xml version="1.0" encoding="utf-8"?>
<table xmlns="http://schemas.openxmlformats.org/spreadsheetml/2006/main" id="35" name="local201516" displayName="local201516" ref="A94:L99" totalsRowCount="1" headerRowDxfId="3017" dataDxfId="3015" totalsRowDxfId="3013" headerRowBorderDxfId="3016" tableBorderDxfId="3014" totalsRowBorderDxfId="3012" headerRowCellStyle="Currency">
  <autoFilter ref="A94:L98"/>
  <tableColumns count="12">
    <tableColumn id="1" name="Fiscal_x000a_Year" totalsRowLabel="2016-17 Total" dataDxfId="3011" totalsRowDxfId="3010"/>
    <tableColumn id="2" name="Program_x000a_Name" totalsRowLabel="N/A       " dataDxfId="3009" totalsRowDxfId="3008"/>
    <tableColumn id="3" name="Legal_x000a_Reference_x000a_(Ch./Year)" totalsRowLabel="N/A       " dataDxfId="3007" totalsRowDxfId="3006"/>
    <tableColumn id="4" name="Program_x000a_Number" totalsRowLabel="N/A       " dataDxfId="3005" totalsRowDxfId="3004"/>
    <tableColumn id="5" name="Program_x000a_Costs" totalsRowFunction="sum" dataDxfId="3003" totalsRowDxfId="3002"/>
    <tableColumn id="6" name="Less: Net _x000a_Payments_x000a_ and Offsets 1" totalsRowFunction="sum" dataDxfId="3001" totalsRowDxfId="3000"/>
    <tableColumn id="7" name="Comment" totalsRowLabel="N/A       " dataDxfId="2999" totalsRowDxfId="2998"/>
    <tableColumn id="8" name="Accounts Payable_x000a_Balance" totalsRowFunction="sum" dataDxfId="2997" totalsRowDxfId="2996"/>
    <tableColumn id="9" name="Established_x000a_Accounts Receivable" totalsRowFunction="sum" dataDxfId="2995" totalsRowDxfId="2994"/>
    <tableColumn id="10" name="Less: _x000a_Recovered _x000a_Amount" totalsRowFunction="sum" dataDxfId="2993" totalsRowDxfId="2992"/>
    <tableColumn id="11" name="Accounts Receivable_x000a_Balance" totalsRowFunction="sum" dataDxfId="2991" totalsRowDxfId="2990"/>
    <tableColumn id="12" name="Net_x000a_Balance" totalsRowFunction="sum" dataDxfId="2989" totalsRowDxfId="29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5.xml><?xml version="1.0" encoding="utf-8"?>
<table xmlns="http://schemas.openxmlformats.org/spreadsheetml/2006/main" id="36" name="local201415" displayName="local201415" ref="A101:L104" totalsRowCount="1" headerRowDxfId="2987" dataDxfId="2985" totalsRowDxfId="2983" headerRowBorderDxfId="2986" tableBorderDxfId="2984" totalsRowBorderDxfId="2982" headerRowCellStyle="Currency">
  <autoFilter ref="A101:L103"/>
  <tableColumns count="12">
    <tableColumn id="1" name="Fiscal_x000a_Year" totalsRowLabel="2015-16 Total" dataDxfId="2981" totalsRowDxfId="2980"/>
    <tableColumn id="2" name="Program_x000a_Name" totalsRowLabel="N/A       " dataDxfId="2979" totalsRowDxfId="2978"/>
    <tableColumn id="3" name="Legal_x000a_Reference_x000a_(Ch./Year)" totalsRowLabel="N/A       " dataDxfId="2977" totalsRowDxfId="2976"/>
    <tableColumn id="4" name="Program_x000a_Number" totalsRowLabel="N/A       " dataDxfId="2975" totalsRowDxfId="2974"/>
    <tableColumn id="5" name="Program_x000a_Costs" totalsRowFunction="sum" dataDxfId="2973" totalsRowDxfId="2972"/>
    <tableColumn id="6" name="Less: Net _x000a_Payments_x000a_ and Offsets 1" totalsRowFunction="sum" dataDxfId="2971" totalsRowDxfId="2970"/>
    <tableColumn id="7" name="Comment" totalsRowLabel="N/A       " dataDxfId="2969" totalsRowDxfId="2968"/>
    <tableColumn id="8" name="Accounts Payable_x000a_Balance" totalsRowFunction="sum" dataDxfId="2967" totalsRowDxfId="2966"/>
    <tableColumn id="9" name="Established_x000a_Accounts Receivable" totalsRowFunction="sum" dataDxfId="2965" totalsRowDxfId="2964"/>
    <tableColumn id="10" name="Less: _x000a_Recovered _x000a_Amount" totalsRowFunction="sum" dataDxfId="2963" totalsRowDxfId="2962"/>
    <tableColumn id="11" name="Accounts Receivable_x000a_Balance" totalsRowFunction="sum" dataDxfId="2961" totalsRowDxfId="2960"/>
    <tableColumn id="12" name="Net_x000a_Balance" totalsRowFunction="sum" dataDxfId="2959" totalsRowDxfId="295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6.xml><?xml version="1.0" encoding="utf-8"?>
<table xmlns="http://schemas.openxmlformats.org/spreadsheetml/2006/main" id="37" name="local201314" displayName="local201314" ref="A106:L108" totalsRowCount="1" headerRowDxfId="2957" dataDxfId="2955" totalsRowDxfId="2953" headerRowBorderDxfId="2956" tableBorderDxfId="2954" totalsRowBorderDxfId="2952" headerRowCellStyle="Currency">
  <autoFilter ref="A106:L107"/>
  <tableColumns count="12">
    <tableColumn id="1" name="Fiscal_x000a_Year" totalsRowLabel="2014-15 Total" dataDxfId="2951" totalsRowDxfId="2950"/>
    <tableColumn id="2" name="Program_x000a_Name" totalsRowLabel="N/A       " dataDxfId="2949" totalsRowDxfId="2948"/>
    <tableColumn id="3" name="Legal_x000a_Reference_x000a_(Ch./Year)" totalsRowLabel="N/A       " dataDxfId="2947" totalsRowDxfId="2946"/>
    <tableColumn id="4" name="Program_x000a_Number" totalsRowLabel="N/A       " dataDxfId="2945" totalsRowDxfId="2944"/>
    <tableColumn id="5" name="Program_x000a_Costs" totalsRowFunction="sum" dataDxfId="2943" totalsRowDxfId="2942"/>
    <tableColumn id="6" name="Less: Net _x000a_Payments_x000a_ and Offsets 1" totalsRowFunction="sum" dataDxfId="2941" totalsRowDxfId="2940"/>
    <tableColumn id="7" name="Comment" totalsRowLabel="N/A       " dataDxfId="2939" totalsRowDxfId="2938"/>
    <tableColumn id="8" name="Accounts Payable_x000a_Balance" totalsRowFunction="sum" dataDxfId="2937" totalsRowDxfId="2936"/>
    <tableColumn id="9" name="Established_x000a_Accounts Receivable" totalsRowFunction="sum" dataDxfId="2935" totalsRowDxfId="2934"/>
    <tableColumn id="10" name="Less: _x000a_Recovered _x000a_Amount" totalsRowFunction="sum" dataDxfId="2933" totalsRowDxfId="2932"/>
    <tableColumn id="11" name="Accounts Receivable_x000a_Balance" totalsRowFunction="sum" dataDxfId="2931" totalsRowDxfId="2930"/>
    <tableColumn id="12" name="Net_x000a_Balance" totalsRowFunction="sum" dataDxfId="2929" totalsRowDxfId="29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7.xml><?xml version="1.0" encoding="utf-8"?>
<table xmlns="http://schemas.openxmlformats.org/spreadsheetml/2006/main" id="38" name="local201213" displayName="local201213" ref="A110:L113" totalsRowCount="1" headerRowDxfId="2927" dataDxfId="2925" totalsRowDxfId="2923" headerRowBorderDxfId="2926" tableBorderDxfId="2924" totalsRowBorderDxfId="2922" headerRowCellStyle="Currency">
  <autoFilter ref="A110:L112"/>
  <tableColumns count="12">
    <tableColumn id="1" name="Fiscal_x000a_Year" totalsRowLabel="2013-14 Total" dataDxfId="2921" totalsRowDxfId="2920"/>
    <tableColumn id="2" name="Program_x000a_Name" totalsRowLabel="N/A       " dataDxfId="2919" totalsRowDxfId="2918"/>
    <tableColumn id="3" name="Legal_x000a_Reference_x000a_(Ch./Year)" totalsRowLabel="N/A       " dataDxfId="2917" totalsRowDxfId="2916"/>
    <tableColumn id="4" name="Program_x000a_Number" totalsRowLabel="N/A       " dataDxfId="2915" totalsRowDxfId="2914"/>
    <tableColumn id="5" name="Program_x000a_Costs" totalsRowFunction="sum" dataDxfId="2913" totalsRowDxfId="2912"/>
    <tableColumn id="6" name="Less: Net _x000a_Payments_x000a_ and Offsets 1" totalsRowFunction="sum" dataDxfId="2911" totalsRowDxfId="2910"/>
    <tableColumn id="7" name="Comment" totalsRowLabel="N/A       " dataDxfId="2909" totalsRowDxfId="2908"/>
    <tableColumn id="8" name="Accounts Payable_x000a_Balance" totalsRowFunction="sum" dataDxfId="2907" totalsRowDxfId="2906"/>
    <tableColumn id="9" name="Established_x000a_Accounts Receivable" totalsRowFunction="sum" dataDxfId="2905" totalsRowDxfId="2904"/>
    <tableColumn id="10" name="Less: _x000a_Recovered _x000a_Amount" totalsRowFunction="sum" dataDxfId="2903" totalsRowDxfId="2902"/>
    <tableColumn id="11" name="Accounts Receivable_x000a_Balance" totalsRowFunction="sum" dataDxfId="2901" totalsRowDxfId="2900"/>
    <tableColumn id="12" name="Net_x000a_Balance" totalsRowFunction="sum" dataDxfId="2899" totalsRowDxfId="28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8.xml><?xml version="1.0" encoding="utf-8"?>
<table xmlns="http://schemas.openxmlformats.org/spreadsheetml/2006/main" id="39" name="locals201112" displayName="locals201112" ref="A115:L117" totalsRowCount="1" headerRowDxfId="2897" dataDxfId="2895" totalsRowDxfId="2893" headerRowBorderDxfId="2896" tableBorderDxfId="2894" totalsRowBorderDxfId="2892" headerRowCellStyle="Currency">
  <autoFilter ref="A115:L116"/>
  <tableColumns count="12">
    <tableColumn id="1" name="Fiscal_x000a_Year" totalsRowLabel="2012-13 Total" dataDxfId="2891" totalsRowDxfId="2890"/>
    <tableColumn id="2" name="Program_x000a_Name" totalsRowLabel="N/A       " dataDxfId="2889" totalsRowDxfId="2888"/>
    <tableColumn id="3" name="Legal_x000a_Reference_x000a_(Ch./Year)" totalsRowLabel="N/A       " dataDxfId="2887" totalsRowDxfId="2886"/>
    <tableColumn id="4" name="Program_x000a_Number" totalsRowLabel="N/A       " dataDxfId="2885" totalsRowDxfId="2884"/>
    <tableColumn id="5" name="Program_x000a_Costs" totalsRowFunction="sum" dataDxfId="2883" totalsRowDxfId="2882"/>
    <tableColumn id="6" name="Less: Net _x000a_Payments_x000a_ and Offsets 1" totalsRowFunction="sum" dataDxfId="2881" totalsRowDxfId="2880"/>
    <tableColumn id="7" name="Comment" totalsRowLabel="N/A       " dataDxfId="2879" totalsRowDxfId="2878"/>
    <tableColumn id="8" name="Accounts Payable_x000a_Balance" totalsRowFunction="sum" dataDxfId="2877" totalsRowDxfId="2876"/>
    <tableColumn id="9" name="Established_x000a_Accounts Receivable" totalsRowFunction="sum" dataDxfId="2875" totalsRowDxfId="2874"/>
    <tableColumn id="10" name="Less: _x000a_Recovered _x000a_Amount" totalsRowFunction="sum" dataDxfId="2873" totalsRowDxfId="2872"/>
    <tableColumn id="11" name="Accounts Receivable_x000a_Balance" totalsRowFunction="sum" dataDxfId="2871" totalsRowDxfId="2870"/>
    <tableColumn id="12" name="Net_x000a_Balance" totalsRowFunction="sum" dataDxfId="2869" totalsRowDxfId="28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29.xml><?xml version="1.0" encoding="utf-8"?>
<table xmlns="http://schemas.openxmlformats.org/spreadsheetml/2006/main" id="40" name="local201011" displayName="local201011" ref="A119:L123" totalsRowCount="1" headerRowDxfId="2867" dataDxfId="2865" totalsRowDxfId="2863" headerRowBorderDxfId="2866" tableBorderDxfId="2864" headerRowCellStyle="Currency">
  <autoFilter ref="A119:L122"/>
  <tableColumns count="12">
    <tableColumn id="1" name="Fiscal_x000a_Year" totalsRowLabel="2011-12 Total" dataDxfId="2862" totalsRowDxfId="2861"/>
    <tableColumn id="2" name="Program_x000a_Name" totalsRowLabel="N/A       " dataDxfId="2860" totalsRowDxfId="2859"/>
    <tableColumn id="3" name="Legal_x000a_Reference_x000a_(Ch./Year)" totalsRowLabel="N/A       " dataDxfId="2858" totalsRowDxfId="2857"/>
    <tableColumn id="4" name="Program_x000a_Number" totalsRowLabel="N/A       " dataDxfId="2856" totalsRowDxfId="2855"/>
    <tableColumn id="5" name="Program_x000a_Costs" totalsRowFunction="sum" dataDxfId="2854" totalsRowDxfId="2853"/>
    <tableColumn id="6" name="Less: Net _x000a_Payments_x000a_ and Offsets 1" totalsRowFunction="sum" dataDxfId="2852" totalsRowDxfId="2851"/>
    <tableColumn id="7" name="Comment" totalsRowLabel="N/A       " dataDxfId="2850" totalsRowDxfId="2849"/>
    <tableColumn id="8" name="Accounts Payable_x000a_Balance" totalsRowFunction="sum" dataDxfId="2848" totalsRowDxfId="2847"/>
    <tableColumn id="9" name="Established_x000a_Accounts Receivable" totalsRowFunction="sum" dataDxfId="2846" totalsRowDxfId="2845"/>
    <tableColumn id="10" name="Less: _x000a_Recovered _x000a_Amount" totalsRowFunction="sum" dataDxfId="2844" totalsRowDxfId="2843"/>
    <tableColumn id="11" name="Accounts Receivable_x000a_Balance" totalsRowFunction="sum" dataDxfId="2842" totalsRowDxfId="2841"/>
    <tableColumn id="12" name="Net_x000a_Balance" totalsRowFunction="sum" dataDxfId="2840" totalsRowDxfId="283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.xml><?xml version="1.0" encoding="utf-8"?>
<table xmlns="http://schemas.openxmlformats.org/spreadsheetml/2006/main" id="123" name="pestnongeneralfund" displayName="pestnongeneralfund" ref="A14:M18" totalsRowCount="1" dataDxfId="3551" totalsRowDxfId="3549" headerRowBorderDxfId="3552" tableBorderDxfId="3550" totalsRowBorderDxfId="3548">
  <autoFilter ref="A14:M17"/>
  <tableColumns count="13">
    <tableColumn id="1" name="Program Category_x000a_ and Fund" totalsRowLabel="Pesticide Regulation-Non-General Fund Total" dataDxfId="3547" totalsRowDxfId="3546"/>
    <tableColumn id="2" name="Appropriation_x000a_Number" totalsRowLabel="N/A" dataDxfId="3545" totalsRowDxfId="3544"/>
    <tableColumn id="3" name="Legal_x000a_Reference_x000a_(Ch./Year)" totalsRowLabel="N/A" dataDxfId="3543" totalsRowDxfId="3542"/>
    <tableColumn id="4" name="Fiscal Year of_x000a_Claims Paid" totalsRowLabel="N/A" dataDxfId="3541" totalsRowDxfId="3540"/>
    <tableColumn id="5" name="Reversion Date" totalsRowLabel="N/A" dataDxfId="3539" totalsRowDxfId="3538"/>
    <tableColumn id="6" name="Original_x000a_Appropriation_x000a_Amount" totalsRowFunction="sum" dataDxfId="3537" totalsRowDxfId="3536" dataCellStyle="Currency"/>
    <tableColumn id="7" name="Appropriation Balances1 " totalsRowFunction="sum" dataDxfId="3535" totalsRowDxfId="3534" dataCellStyle="Currency"/>
    <tableColumn id="8" name="Comment" totalsRowLabel="N/A" dataDxfId="3533" totalsRowDxfId="3532"/>
    <tableColumn id="9" name="Budget Adjustments" totalsRowFunction="sum" dataDxfId="3531" totalsRowDxfId="3530"/>
    <tableColumn id="10" name="N/A" totalsRowLabel="N/A" dataDxfId="3529" totalsRowDxfId="3528"/>
    <tableColumn id="11" name="Add: Receipts_x000a_and Recovered_x000a_Amounts" totalsRowFunction="custom" dataDxfId="3527" totalsRowDxfId="3526" dataCellStyle="Currency">
      <totalsRowFormula>SUM(K15:K17)</totalsRowFormula>
    </tableColumn>
    <tableColumn id="12" name="Less: Mandated Program Payments, Offsets, and Interest (see Schedule A1)" totalsRowFunction="custom" dataDxfId="3525" totalsRowDxfId="3524" dataCellStyle="Currency">
      <totalsRowFormula>SUM(L15:L17)</totalsRowFormula>
    </tableColumn>
    <tableColumn id="13" name="Appropriation_x000a_Balances_x000a_as of 4/1/2023" totalsRowFunction="sum" dataDxfId="3523" totalsRowDxfId="3522">
      <calculatedColumnFormula>G15+K15-L15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For Pesticide Regulation-Non General Fund."/>
    </ext>
  </extLst>
</table>
</file>

<file path=xl/tables/table30.xml><?xml version="1.0" encoding="utf-8"?>
<table xmlns="http://schemas.openxmlformats.org/spreadsheetml/2006/main" id="41" name="local200910" displayName="local200910" ref="A125:L135" totalsRowCount="1" headerRowDxfId="2838" dataDxfId="2836" totalsRowDxfId="2834" headerRowBorderDxfId="2837" tableBorderDxfId="2835" headerRowCellStyle="Currency">
  <autoFilter ref="A125:L134"/>
  <tableColumns count="12">
    <tableColumn id="1" name="Fiscal_x000a_Year" totalsRowLabel="2010-11 Total" dataDxfId="2833" totalsRowDxfId="2832"/>
    <tableColumn id="2" name="Program_x000a_Name" totalsRowLabel="N/A       " dataDxfId="2831" totalsRowDxfId="2830"/>
    <tableColumn id="3" name="Legal_x000a_Reference_x000a_(Ch./Year)" totalsRowLabel="N/A       " dataDxfId="2829" totalsRowDxfId="2828"/>
    <tableColumn id="4" name="Program_x000a_Number" totalsRowLabel="N/A       " dataDxfId="2827" totalsRowDxfId="2826"/>
    <tableColumn id="5" name="Program_x000a_Costs" totalsRowFunction="sum" dataDxfId="2825" totalsRowDxfId="2824"/>
    <tableColumn id="6" name="Less: Net _x000a_Payments_x000a_ and Offsets 1" totalsRowFunction="sum" dataDxfId="2823" totalsRowDxfId="2822"/>
    <tableColumn id="7" name="Comment" totalsRowLabel="N/A       " dataDxfId="2821" totalsRowDxfId="2820"/>
    <tableColumn id="8" name="Accounts Payable_x000a_Balance" totalsRowFunction="sum" dataDxfId="2819" totalsRowDxfId="2818"/>
    <tableColumn id="9" name="Established_x000a_Accounts Receivable" totalsRowFunction="sum" dataDxfId="2817" totalsRowDxfId="2816"/>
    <tableColumn id="10" name="Less: _x000a_Recovered _x000a_Amount" totalsRowFunction="sum" dataDxfId="2815" totalsRowDxfId="2814"/>
    <tableColumn id="11" name="Accounts Receivable_x000a_Balance" totalsRowFunction="sum" dataDxfId="2813" totalsRowDxfId="2812"/>
    <tableColumn id="12" name="Net_x000a_Balance" totalsRowFunction="sum" dataDxfId="2811" totalsRowDxfId="28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1.xml><?xml version="1.0" encoding="utf-8"?>
<table xmlns="http://schemas.openxmlformats.org/spreadsheetml/2006/main" id="42" name="local200809" displayName="local200809" ref="A137:L164" totalsRowCount="1" headerRowDxfId="2809" dataDxfId="2807" totalsRowDxfId="2805" headerRowBorderDxfId="2808" tableBorderDxfId="2806" headerRowCellStyle="Currency">
  <autoFilter ref="A137:L163"/>
  <tableColumns count="12">
    <tableColumn id="1" name="Fiscal_x000a_Year" totalsRowLabel="2009-10 Total" dataDxfId="2804" totalsRowDxfId="2803"/>
    <tableColumn id="2" name="Program_x000a_Name" totalsRowLabel="N/A       " dataDxfId="2802" totalsRowDxfId="2801"/>
    <tableColumn id="3" name="Legal_x000a_Reference_x000a_(Ch./Year)" totalsRowLabel="N/A       " dataDxfId="2800" totalsRowDxfId="2799"/>
    <tableColumn id="4" name="Program_x000a_Number" totalsRowLabel="N/A       " dataDxfId="2798" totalsRowDxfId="2797"/>
    <tableColumn id="5" name="Program_x000a_Costs" totalsRowFunction="sum" dataDxfId="2796" totalsRowDxfId="2795"/>
    <tableColumn id="6" name="Less: Net _x000a_Payments_x000a_ and Offsets 1" totalsRowFunction="sum" dataDxfId="2794" totalsRowDxfId="2793"/>
    <tableColumn id="7" name="Comment" totalsRowLabel="N/A       " dataDxfId="2792" totalsRowDxfId="2791"/>
    <tableColumn id="8" name="Accounts Payable_x000a_Balance" totalsRowFunction="sum" dataDxfId="2790" totalsRowDxfId="2789"/>
    <tableColumn id="9" name="Established_x000a_Accounts Receivable" totalsRowFunction="sum" dataDxfId="2788" totalsRowDxfId="2787"/>
    <tableColumn id="10" name="Less: _x000a_Recovered _x000a_Amount" totalsRowFunction="sum" dataDxfId="2786" totalsRowDxfId="2785"/>
    <tableColumn id="11" name="Accounts Receivable_x000a_Balance" totalsRowFunction="sum" dataDxfId="2784" totalsRowDxfId="2783"/>
    <tableColumn id="12" name="Net_x000a_Balance" totalsRowFunction="sum" dataDxfId="2782" totalsRowDxfId="27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2.xml><?xml version="1.0" encoding="utf-8"?>
<table xmlns="http://schemas.openxmlformats.org/spreadsheetml/2006/main" id="43" name="local200708" displayName="local200708" ref="A166:L191" totalsRowCount="1" headerRowDxfId="2780" dataDxfId="2778" totalsRowDxfId="2776" headerRowBorderDxfId="2779" tableBorderDxfId="2777" headerRowCellStyle="Currency">
  <autoFilter ref="A166:L190"/>
  <tableColumns count="12">
    <tableColumn id="1" name="Fiscal_x000a_Year" totalsRowLabel="2008-09 Total" dataDxfId="2775" totalsRowDxfId="2774"/>
    <tableColumn id="2" name="Program_x000a_Name" totalsRowLabel="N/A       " dataDxfId="2773" totalsRowDxfId="2772"/>
    <tableColumn id="3" name="Legal_x000a_Reference_x000a_(Ch./Year)" totalsRowLabel="N/A       " dataDxfId="2771" totalsRowDxfId="2770"/>
    <tableColumn id="4" name="Program_x000a_Number" totalsRowLabel="N/A       " dataDxfId="2769" totalsRowDxfId="2768"/>
    <tableColumn id="5" name="Program_x000a_Costs" totalsRowFunction="sum" dataDxfId="2767" totalsRowDxfId="2766"/>
    <tableColumn id="6" name="Less: Net _x000a_Payments_x000a_ and Offsets 1" totalsRowFunction="sum" dataDxfId="2765" totalsRowDxfId="2764"/>
    <tableColumn id="7" name="Comment" totalsRowLabel="N/A       " dataDxfId="2763" totalsRowDxfId="2762"/>
    <tableColumn id="8" name="Accounts Payable_x000a_Balance" totalsRowFunction="sum" dataDxfId="2761" totalsRowDxfId="2760"/>
    <tableColumn id="9" name="Established_x000a_Accounts Receivable" totalsRowFunction="sum" dataDxfId="2759" totalsRowDxfId="2758"/>
    <tableColumn id="10" name="Less: _x000a_Recovered _x000a_Amount" totalsRowFunction="sum" dataDxfId="2757" totalsRowDxfId="2756"/>
    <tableColumn id="11" name="Accounts Receivable_x000a_Balance" totalsRowFunction="sum" dataDxfId="2755" totalsRowDxfId="2754"/>
    <tableColumn id="12" name="Net_x000a_Balance" totalsRowFunction="sum" dataDxfId="2753" totalsRowDxfId="27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3.xml><?xml version="1.0" encoding="utf-8"?>
<table xmlns="http://schemas.openxmlformats.org/spreadsheetml/2006/main" id="44" name="local200607" displayName="local200607" ref="A193:L221" totalsRowCount="1" headerRowDxfId="2751" dataDxfId="2749" totalsRowDxfId="2747" headerRowBorderDxfId="2750" tableBorderDxfId="2748" headerRowCellStyle="Currency">
  <autoFilter ref="A193:L220"/>
  <tableColumns count="12">
    <tableColumn id="1" name="Fiscal_x000a_Year" totalsRowLabel="2007-08 Total" dataDxfId="2746" totalsRowDxfId="2745"/>
    <tableColumn id="2" name="Program_x000a_Name" totalsRowLabel="N/A       " dataDxfId="2744" totalsRowDxfId="2743"/>
    <tableColumn id="3" name="Legal_x000a_Reference_x000a_(Ch./Year)" totalsRowLabel="N/A       " dataDxfId="2742" totalsRowDxfId="2741"/>
    <tableColumn id="4" name="Program_x000a_Number" totalsRowLabel="N/A       " dataDxfId="2740" totalsRowDxfId="2739"/>
    <tableColumn id="5" name="Program_x000a_Costs" totalsRowFunction="sum" dataDxfId="2738" totalsRowDxfId="2737"/>
    <tableColumn id="6" name="Less: Net _x000a_Payments_x000a_ and Offsets 1" totalsRowFunction="sum" dataDxfId="2736" totalsRowDxfId="2735"/>
    <tableColumn id="7" name="Comment" totalsRowLabel="N/A       " dataDxfId="2734" totalsRowDxfId="2733"/>
    <tableColumn id="8" name="Accounts Payable_x000a_Balance" totalsRowFunction="sum" dataDxfId="2732" totalsRowDxfId="2731"/>
    <tableColumn id="9" name="Established_x000a_Accounts Receivable" totalsRowFunction="sum" dataDxfId="2730" totalsRowDxfId="2729"/>
    <tableColumn id="10" name="Less: _x000a_Recovered _x000a_Amount" totalsRowFunction="sum" dataDxfId="2728" totalsRowDxfId="2727"/>
    <tableColumn id="11" name="Accounts Receivable_x000a_Balance" totalsRowFunction="sum" dataDxfId="2726" totalsRowDxfId="2725"/>
    <tableColumn id="12" name="Net_x000a_Balance" totalsRowFunction="sum" dataDxfId="2724" totalsRowDxfId="272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4.xml><?xml version="1.0" encoding="utf-8"?>
<table xmlns="http://schemas.openxmlformats.org/spreadsheetml/2006/main" id="45" name="local200506" displayName="local200506" ref="A223:L236" totalsRowCount="1" headerRowDxfId="2722" dataDxfId="2720" totalsRowDxfId="2718" headerRowBorderDxfId="2721" tableBorderDxfId="2719" headerRowCellStyle="Currency">
  <autoFilter ref="A223:L235"/>
  <tableColumns count="12">
    <tableColumn id="1" name="Fiscal_x000a_Year" totalsRowLabel="2006-07 Total" dataDxfId="2717" totalsRowDxfId="2716"/>
    <tableColumn id="2" name="Program_x000a_Name" totalsRowLabel="N/A       " dataDxfId="2715" totalsRowDxfId="2714"/>
    <tableColumn id="3" name="Legal_x000a_Reference_x000a_(Ch./Year)" totalsRowLabel="N/A       " dataDxfId="2713" totalsRowDxfId="2712"/>
    <tableColumn id="4" name="Program_x000a_Number" totalsRowLabel="N/A       " dataDxfId="2711" totalsRowDxfId="2710"/>
    <tableColumn id="5" name="Program_x000a_Costs" totalsRowFunction="sum" dataDxfId="2709" totalsRowDxfId="2708"/>
    <tableColumn id="6" name="Less: Net _x000a_Payments_x000a_ and Offsets 1" totalsRowFunction="sum" dataDxfId="2707" totalsRowDxfId="2706"/>
    <tableColumn id="7" name="Comment" totalsRowLabel="N/A       " dataDxfId="2705" totalsRowDxfId="2704"/>
    <tableColumn id="8" name="Accounts Payable_x000a_Balance" totalsRowFunction="sum" dataDxfId="2703" totalsRowDxfId="2702"/>
    <tableColumn id="9" name="Established_x000a_Accounts Receivable" totalsRowFunction="sum" dataDxfId="2701" totalsRowDxfId="2700"/>
    <tableColumn id="10" name="Less: _x000a_Recovered _x000a_Amount" totalsRowFunction="sum" dataDxfId="2699" totalsRowDxfId="2698"/>
    <tableColumn id="11" name="Accounts Receivable_x000a_Balance" totalsRowFunction="sum" dataDxfId="2697" totalsRowDxfId="2696"/>
    <tableColumn id="12" name="Net_x000a_Balance" totalsRowFunction="sum" dataDxfId="2695" totalsRowDxfId="26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5.xml><?xml version="1.0" encoding="utf-8"?>
<table xmlns="http://schemas.openxmlformats.org/spreadsheetml/2006/main" id="46" name="local200405" displayName="local200405" ref="A238:L247" totalsRowCount="1" headerRowDxfId="2693" dataDxfId="2691" totalsRowDxfId="2689" headerRowBorderDxfId="2692" tableBorderDxfId="2690" headerRowCellStyle="Currency">
  <autoFilter ref="A238:L246"/>
  <tableColumns count="12">
    <tableColumn id="1" name="Fiscal_x000a_Year" totalsRowLabel="2005-06 Total" dataDxfId="2688" totalsRowDxfId="2687"/>
    <tableColumn id="2" name="Program_x000a_Name" totalsRowLabel="N/A       " dataDxfId="2686" totalsRowDxfId="2685"/>
    <tableColumn id="3" name="Legal_x000a_Reference_x000a_(Ch./Year)" totalsRowLabel="N/A       " dataDxfId="2684" totalsRowDxfId="2683"/>
    <tableColumn id="4" name="Program_x000a_Number" totalsRowLabel="N/A       " dataDxfId="2682" totalsRowDxfId="2681"/>
    <tableColumn id="5" name="Program_x000a_Costs" totalsRowFunction="sum" dataDxfId="2680" totalsRowDxfId="2679"/>
    <tableColumn id="6" name="Less: Net _x000a_Payments_x000a_ and Offsets 1" totalsRowFunction="sum" dataDxfId="2678" totalsRowDxfId="2677"/>
    <tableColumn id="7" name="Comment" totalsRowLabel="N/A       " dataDxfId="2676" totalsRowDxfId="2675"/>
    <tableColumn id="8" name="Accounts Payable_x000a_Balance" totalsRowFunction="sum" dataDxfId="2674" totalsRowDxfId="2673"/>
    <tableColumn id="9" name="Established_x000a_Accounts Receivable" totalsRowFunction="sum" dataDxfId="2672" totalsRowDxfId="2671"/>
    <tableColumn id="10" name="Less: _x000a_Recovered _x000a_Amount" totalsRowFunction="sum" dataDxfId="2670" totalsRowDxfId="2669"/>
    <tableColumn id="11" name="Accounts Receivable_x000a_Balance" totalsRowFunction="sum" dataDxfId="2668" totalsRowDxfId="2667"/>
    <tableColumn id="12" name="Net_x000a_Balance" totalsRowFunction="sum" dataDxfId="2666" totalsRowDxfId="266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6.xml><?xml version="1.0" encoding="utf-8"?>
<table xmlns="http://schemas.openxmlformats.org/spreadsheetml/2006/main" id="47" name="local200304" displayName="local200304" ref="A249:L257" totalsRowCount="1" headerRowDxfId="2664" dataDxfId="2662" totalsRowDxfId="2660" headerRowBorderDxfId="2663" tableBorderDxfId="2661" headerRowCellStyle="Currency">
  <autoFilter ref="A249:L256"/>
  <tableColumns count="12">
    <tableColumn id="1" name="Fiscal_x000a_Year" totalsRowLabel="2004-05 Total" dataDxfId="2659" totalsRowDxfId="2658"/>
    <tableColumn id="2" name="Program_x000a_Name" totalsRowLabel="N/A       " dataDxfId="2657" totalsRowDxfId="2656"/>
    <tableColumn id="3" name="Legal_x000a_Reference_x000a_(Ch./Year)" totalsRowLabel="N/A       " dataDxfId="2655" totalsRowDxfId="2654"/>
    <tableColumn id="4" name="Program_x000a_Number" totalsRowLabel="N/A       " dataDxfId="2653" totalsRowDxfId="2652"/>
    <tableColumn id="5" name="Program_x000a_Costs" totalsRowFunction="sum" dataDxfId="2651" totalsRowDxfId="2650"/>
    <tableColumn id="6" name="Less: Net _x000a_Payments_x000a_ and Offsets 1" totalsRowFunction="sum" dataDxfId="2649" totalsRowDxfId="2648"/>
    <tableColumn id="7" name="Comment" totalsRowLabel="N/A       " dataDxfId="2647" totalsRowDxfId="2646"/>
    <tableColumn id="8" name="Accounts Payable_x000a_Balance" totalsRowFunction="sum" dataDxfId="2645" totalsRowDxfId="2644"/>
    <tableColumn id="9" name="Established_x000a_Accounts Receivable" totalsRowFunction="sum" dataDxfId="2643" totalsRowDxfId="2642"/>
    <tableColumn id="10" name="Less: _x000a_Recovered _x000a_Amount" totalsRowFunction="sum" dataDxfId="2641" totalsRowDxfId="2640"/>
    <tableColumn id="11" name="Accounts Receivable_x000a_Balance" totalsRowFunction="sum" dataDxfId="2639" totalsRowDxfId="2638"/>
    <tableColumn id="12" name="Net_x000a_Balance" totalsRowFunction="sum" dataDxfId="2637" totalsRowDxfId="26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7.xml><?xml version="1.0" encoding="utf-8"?>
<table xmlns="http://schemas.openxmlformats.org/spreadsheetml/2006/main" id="48" name="local200203" displayName="local200203" ref="A259:L263" totalsRowCount="1" headerRowDxfId="2635" dataDxfId="2633" totalsRowDxfId="2631" headerRowBorderDxfId="2634" tableBorderDxfId="2632" headerRowCellStyle="Currency">
  <autoFilter ref="A259:L262"/>
  <tableColumns count="12">
    <tableColumn id="1" name="Fiscal_x000a_Year" totalsRowLabel="2003-04 Total" dataDxfId="2630" totalsRowDxfId="2629"/>
    <tableColumn id="2" name="Program_x000a_Name" totalsRowLabel="N/A       " dataDxfId="2628" totalsRowDxfId="2627"/>
    <tableColumn id="3" name="Legal_x000a_Reference_x000a_(Ch./Year)" totalsRowLabel="N/A       " dataDxfId="2626" totalsRowDxfId="2625"/>
    <tableColumn id="4" name="Program_x000a_Number" totalsRowLabel="N/A       " dataDxfId="2624" totalsRowDxfId="2623"/>
    <tableColumn id="5" name="Program_x000a_Costs" totalsRowFunction="sum" dataDxfId="2622" totalsRowDxfId="2621"/>
    <tableColumn id="6" name="Less: Net _x000a_Payments_x000a_ and Offsets 1" totalsRowFunction="sum" dataDxfId="2620" totalsRowDxfId="2619"/>
    <tableColumn id="7" name="Comment" totalsRowLabel="N/A       " dataDxfId="2618" totalsRowDxfId="2617"/>
    <tableColumn id="8" name="Accounts Payable_x000a_Balance" totalsRowFunction="sum" dataDxfId="2616" totalsRowDxfId="2615"/>
    <tableColumn id="9" name="Established_x000a_Accounts Receivable" totalsRowFunction="sum" dataDxfId="2614" totalsRowDxfId="2613"/>
    <tableColumn id="10" name="Less: _x000a_Recovered _x000a_Amount" totalsRowFunction="sum" dataDxfId="2612" totalsRowDxfId="2611"/>
    <tableColumn id="11" name="Accounts Receivable_x000a_Balance" totalsRowFunction="sum" dataDxfId="2610" totalsRowDxfId="2609"/>
    <tableColumn id="12" name="Net_x000a_Balance" totalsRowFunction="sum" dataDxfId="2608" totalsRowDxfId="26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8.xml><?xml version="1.0" encoding="utf-8"?>
<table xmlns="http://schemas.openxmlformats.org/spreadsheetml/2006/main" id="49" name="local200102" displayName="local200102" ref="A265:L269" totalsRowCount="1" headerRowDxfId="2606" dataDxfId="2604" totalsRowDxfId="2602" headerRowBorderDxfId="2605" tableBorderDxfId="2603" headerRowCellStyle="Currency">
  <autoFilter ref="A265:L268"/>
  <tableColumns count="12">
    <tableColumn id="1" name="Fiscal_x000a_Year" totalsRowLabel="2002-03 Total" dataDxfId="2601" totalsRowDxfId="2600"/>
    <tableColumn id="2" name="Program_x000a_Name" totalsRowLabel="N/A       " dataDxfId="2599" totalsRowDxfId="2598"/>
    <tableColumn id="3" name="Legal_x000a_Reference_x000a_(Ch./Year)" totalsRowLabel="N/A       " dataDxfId="2597" totalsRowDxfId="2596"/>
    <tableColumn id="4" name="Program_x000a_Number" totalsRowLabel="N/A       " dataDxfId="2595" totalsRowDxfId="2594"/>
    <tableColumn id="5" name="Program_x000a_Costs" totalsRowFunction="sum" dataDxfId="2593" totalsRowDxfId="2592"/>
    <tableColumn id="6" name="Less: Net _x000a_Payments_x000a_ and Offsets 1" totalsRowFunction="sum" dataDxfId="2591" totalsRowDxfId="2590"/>
    <tableColumn id="7" name="Comment" totalsRowLabel="N/A       " dataDxfId="2589" totalsRowDxfId="2588"/>
    <tableColumn id="8" name="Accounts Payable_x000a_Balance" totalsRowFunction="sum" dataDxfId="2587" totalsRowDxfId="2586"/>
    <tableColumn id="9" name="Established_x000a_Accounts Receivable" totalsRowFunction="sum" dataDxfId="2585" totalsRowDxfId="2584"/>
    <tableColumn id="10" name="Less: _x000a_Recovered _x000a_Amount" totalsRowFunction="sum" dataDxfId="2583" totalsRowDxfId="2582"/>
    <tableColumn id="11" name="Accounts Receivable_x000a_Balance" totalsRowFunction="sum" dataDxfId="2581" totalsRowDxfId="2580"/>
    <tableColumn id="12" name="Net_x000a_Balance" totalsRowFunction="sum" dataDxfId="2579" totalsRowDxfId="25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39.xml><?xml version="1.0" encoding="utf-8"?>
<table xmlns="http://schemas.openxmlformats.org/spreadsheetml/2006/main" id="50" name="local200001" displayName="local200001" ref="A271:L276" totalsRowCount="1" headerRowDxfId="2577" dataDxfId="2575" totalsRowDxfId="2573" headerRowBorderDxfId="2576" tableBorderDxfId="2574" headerRowCellStyle="Currency">
  <autoFilter ref="A271:L275"/>
  <tableColumns count="12">
    <tableColumn id="1" name="Fiscal_x000a_Year" totalsRowLabel="2001-02 Total" dataDxfId="2572" totalsRowDxfId="2571"/>
    <tableColumn id="2" name="Program_x000a_Name" totalsRowLabel="N/A       " dataDxfId="2570" totalsRowDxfId="2569"/>
    <tableColumn id="3" name="Legal_x000a_Reference_x000a_(Ch./Year)" totalsRowLabel="N/A       " dataDxfId="2568" totalsRowDxfId="2567"/>
    <tableColumn id="4" name="Program_x000a_Number" totalsRowLabel="N/A       " dataDxfId="2566" totalsRowDxfId="2565"/>
    <tableColumn id="5" name="Program_x000a_Costs" totalsRowFunction="sum" dataDxfId="2564" totalsRowDxfId="2563"/>
    <tableColumn id="6" name="Less: Net _x000a_Payments_x000a_ and Offsets 1" totalsRowFunction="sum" dataDxfId="2562" totalsRowDxfId="2561"/>
    <tableColumn id="7" name="Comment" totalsRowLabel="N/A       " dataDxfId="2560" totalsRowDxfId="2559"/>
    <tableColumn id="8" name="Accounts Payable_x000a_Balance" totalsRowFunction="sum" dataDxfId="2558" totalsRowDxfId="2557"/>
    <tableColumn id="9" name="Established_x000a_Accounts Receivable" totalsRowFunction="sum" dataDxfId="2556" totalsRowDxfId="2555"/>
    <tableColumn id="10" name="Less: _x000a_Recovered _x000a_Amount" totalsRowFunction="sum" dataDxfId="2554" totalsRowDxfId="2553"/>
    <tableColumn id="11" name="Accounts Receivable_x000a_Balance" totalsRowFunction="sum" dataDxfId="2552" totalsRowDxfId="2551"/>
    <tableColumn id="12" name="Net_x000a_Balance" totalsRowFunction="sum" dataDxfId="2550" totalsRowDxfId="254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.xml><?xml version="1.0" encoding="utf-8"?>
<table xmlns="http://schemas.openxmlformats.org/spreadsheetml/2006/main" id="124" name="sdgeneralfund" displayName="sdgeneralfund" ref="A20:M24" totalsRowCount="1" dataDxfId="3520" totalsRowDxfId="3519" headerRowBorderDxfId="3521" totalsRowBorderDxfId="3518">
  <autoFilter ref="A20:M23"/>
  <tableColumns count="13">
    <tableColumn id="1" name="Program Category_x000a_ and Fund" totalsRowLabel="School Districts-General Fund Total" dataDxfId="3517" totalsRowDxfId="3516"/>
    <tableColumn id="2" name="Appropriation_x000a_Number" totalsRowLabel="N/A" dataDxfId="3515" totalsRowDxfId="3514"/>
    <tableColumn id="3" name="Legal_x000a_Reference_x000a_(Ch./Year)" totalsRowLabel="N/A" dataDxfId="3513" totalsRowDxfId="3512"/>
    <tableColumn id="4" name="Fiscal Year of_x000a_Claims Paid" totalsRowLabel="N/A" dataDxfId="3511" totalsRowDxfId="3510"/>
    <tableColumn id="5" name="Reversion Date" totalsRowLabel="N/A" dataDxfId="3509" totalsRowDxfId="3508"/>
    <tableColumn id="6" name="Original_x000a_Appropriation_x000a_Amount" totalsRowFunction="sum" dataDxfId="3507" totalsRowDxfId="3506" dataCellStyle="Currency"/>
    <tableColumn id="7" name="Appropriation Balances1 " totalsRowFunction="sum" dataDxfId="3505" totalsRowDxfId="3504" dataCellStyle="Currency"/>
    <tableColumn id="8" name="Comment" totalsRowLabel="N/A" dataDxfId="3503" totalsRowDxfId="3502"/>
    <tableColumn id="9" name="Budget Adjustments" totalsRowFunction="sum" dataDxfId="3501" totalsRowDxfId="3500" dataCellStyle="Currency"/>
    <tableColumn id="10" name="N/A" totalsRowLabel="N/A" dataDxfId="3499" totalsRowDxfId="3498" dataCellStyle="Currency"/>
    <tableColumn id="11" name="Add: Receipts_x000a_and Recovered_x000a_Amounts" totalsRowFunction="sum" dataDxfId="3497" totalsRowDxfId="3496" dataCellStyle="Currency"/>
    <tableColumn id="12" name="Less: Mandated Program Payments, Offsets, and Interest (see Schedule A1)" totalsRowFunction="sum" dataDxfId="3495" totalsRowDxfId="3494" dataCellStyle="Currency"/>
    <tableColumn id="13" name="Appropriation_x000a_Balances_x000a_as of 4/1/2023" totalsRowFunction="sum" dataDxfId="3493" totalsRowDxfId="3492">
      <calculatedColumnFormula>G21+K21-L21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For School Districts-General Fund."/>
    </ext>
  </extLst>
</table>
</file>

<file path=xl/tables/table40.xml><?xml version="1.0" encoding="utf-8"?>
<table xmlns="http://schemas.openxmlformats.org/spreadsheetml/2006/main" id="51" name="local199900" displayName="local199900" ref="A278:L280" totalsRowCount="1" headerRowDxfId="2548" dataDxfId="2546" totalsRowDxfId="2544" headerRowBorderDxfId="2547" tableBorderDxfId="2545" headerRowCellStyle="Currency">
  <autoFilter ref="A278:L279"/>
  <tableColumns count="12">
    <tableColumn id="1" name="Fiscal_x000a_Year" totalsRowLabel="2000-01 Total" dataDxfId="2543" totalsRowDxfId="2542"/>
    <tableColumn id="2" name="Program_x000a_Name" totalsRowLabel="N/A       " dataDxfId="2541" totalsRowDxfId="2540"/>
    <tableColumn id="3" name="Legal_x000a_Reference_x000a_(Ch./Year)" totalsRowLabel="N/A       " dataDxfId="2539" totalsRowDxfId="2538"/>
    <tableColumn id="4" name="Program_x000a_Number" totalsRowLabel="N/A       " dataDxfId="2537" totalsRowDxfId="2536"/>
    <tableColumn id="5" name="Program_x000a_Costs" totalsRowFunction="sum" dataDxfId="2535" totalsRowDxfId="2534"/>
    <tableColumn id="6" name="Less: Net _x000a_Payments_x000a_ and Offsets 1" totalsRowFunction="sum" dataDxfId="2533" totalsRowDxfId="2532"/>
    <tableColumn id="7" name="Comment" totalsRowLabel="N/A       " dataDxfId="2531" totalsRowDxfId="2530"/>
    <tableColumn id="8" name="Accounts Payable_x000a_Balance" totalsRowFunction="sum" dataDxfId="2529" totalsRowDxfId="2528"/>
    <tableColumn id="9" name="Established_x000a_Accounts Receivable" totalsRowFunction="sum" dataDxfId="2527" totalsRowDxfId="2526"/>
    <tableColumn id="10" name="Less: _x000a_Recovered _x000a_Amount" totalsRowFunction="sum" dataDxfId="2525" totalsRowDxfId="2524"/>
    <tableColumn id="11" name="Accounts Receivable_x000a_Balance" totalsRowFunction="sum" dataDxfId="2523" totalsRowDxfId="2522"/>
    <tableColumn id="12" name="Net_x000a_Balance" totalsRowFunction="sum" dataDxfId="2521" totalsRowDxfId="25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1.xml><?xml version="1.0" encoding="utf-8"?>
<table xmlns="http://schemas.openxmlformats.org/spreadsheetml/2006/main" id="52" name="local199899" displayName="local199899" ref="A282:L287" totalsRowCount="1" headerRowDxfId="2519" dataDxfId="2517" totalsRowDxfId="2515" headerRowBorderDxfId="2518" tableBorderDxfId="2516" headerRowCellStyle="Currency">
  <autoFilter ref="A282:L286"/>
  <tableColumns count="12">
    <tableColumn id="1" name="Fiscal_x000a_Year" totalsRowLabel="1999-00 Total" dataDxfId="2514" totalsRowDxfId="2513"/>
    <tableColumn id="2" name="Program_x000a_Name" totalsRowLabel="N/A       " dataDxfId="2512" totalsRowDxfId="2511"/>
    <tableColumn id="3" name="Legal_x000a_Reference_x000a_(Ch./Year)" totalsRowLabel="N/A       " dataDxfId="2510" totalsRowDxfId="2509"/>
    <tableColumn id="4" name="Program_x000a_Number" totalsRowLabel="N/A       " dataDxfId="2508" totalsRowDxfId="2507"/>
    <tableColumn id="5" name="Program_x000a_Costs" totalsRowFunction="sum" dataDxfId="2506" totalsRowDxfId="2505"/>
    <tableColumn id="6" name="Less: Net _x000a_Payments_x000a_ and Offsets 1" totalsRowFunction="sum" dataDxfId="2504" totalsRowDxfId="2503"/>
    <tableColumn id="7" name="Comment" totalsRowLabel="N/A       " dataDxfId="2502" totalsRowDxfId="2501"/>
    <tableColumn id="8" name="Accounts Payable_x000a_Balance" totalsRowFunction="sum" dataDxfId="2500" totalsRowDxfId="2499"/>
    <tableColumn id="9" name="Established_x000a_Accounts Receivable" totalsRowFunction="sum" dataDxfId="2498" totalsRowDxfId="2497"/>
    <tableColumn id="10" name="Less: _x000a_Recovered _x000a_Amount" totalsRowFunction="sum" dataDxfId="2496" totalsRowDxfId="2495"/>
    <tableColumn id="11" name="Accounts Receivable_x000a_Balance" totalsRowFunction="sum" dataDxfId="2494" totalsRowDxfId="2493"/>
    <tableColumn id="12" name="Net_x000a_Balance" totalsRowFunction="sum" dataDxfId="2492" totalsRowDxfId="24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2.xml><?xml version="1.0" encoding="utf-8"?>
<table xmlns="http://schemas.openxmlformats.org/spreadsheetml/2006/main" id="53" name="local199798" displayName="local199798" ref="A289:L293" totalsRowCount="1" headerRowDxfId="2490" dataDxfId="2488" totalsRowDxfId="2486" headerRowBorderDxfId="2489" tableBorderDxfId="2487" headerRowCellStyle="Currency">
  <autoFilter ref="A289:L292"/>
  <tableColumns count="12">
    <tableColumn id="1" name="Fiscal_x000a_Year" totalsRowLabel="1998-99 Total" dataDxfId="2485" totalsRowDxfId="2484"/>
    <tableColumn id="2" name="Program_x000a_Name" totalsRowLabel="N/A       " dataDxfId="2483" totalsRowDxfId="2482"/>
    <tableColumn id="3" name="Legal_x000a_Reference_x000a_(Ch./Year)" totalsRowLabel="N/A       " dataDxfId="2481" totalsRowDxfId="2480"/>
    <tableColumn id="4" name="Program_x000a_Number" totalsRowLabel="N/A       " dataDxfId="2479" totalsRowDxfId="2478"/>
    <tableColumn id="5" name="Program_x000a_Costs" totalsRowFunction="sum" dataDxfId="2477" totalsRowDxfId="2476"/>
    <tableColumn id="6" name="Less: Net _x000a_Payments_x000a_ and Offsets 1" totalsRowFunction="sum" dataDxfId="2475" totalsRowDxfId="2474"/>
    <tableColumn id="7" name="Comment" totalsRowLabel="N/A       " dataDxfId="2473" totalsRowDxfId="2472"/>
    <tableColumn id="8" name="Accounts Payable_x000a_Balance" totalsRowFunction="sum" dataDxfId="2471" totalsRowDxfId="2470"/>
    <tableColumn id="9" name="Established_x000a_Accounts Receivable" totalsRowFunction="sum" dataDxfId="2469" totalsRowDxfId="2468"/>
    <tableColumn id="10" name="Less: _x000a_Recovered _x000a_Amount" totalsRowFunction="sum" dataDxfId="2467" totalsRowDxfId="2466"/>
    <tableColumn id="11" name="Accounts Receivable_x000a_Balance" totalsRowFunction="sum" dataDxfId="2465" totalsRowDxfId="2464"/>
    <tableColumn id="12" name="Net_x000a_Balance" totalsRowFunction="sum" dataDxfId="2463" totalsRowDxfId="24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3.xml><?xml version="1.0" encoding="utf-8"?>
<table xmlns="http://schemas.openxmlformats.org/spreadsheetml/2006/main" id="54" name="local199697" displayName="local199697" ref="A295:L298" totalsRowCount="1" headerRowDxfId="2461" dataDxfId="2459" totalsRowDxfId="2457" headerRowBorderDxfId="2460" tableBorderDxfId="2458" headerRowCellStyle="Currency">
  <autoFilter ref="A295:L297"/>
  <tableColumns count="12">
    <tableColumn id="1" name="Fiscal_x000a_Year" totalsRowLabel="1997-98 Total" dataDxfId="2456" totalsRowDxfId="2455"/>
    <tableColumn id="2" name="Program_x000a_Name" totalsRowLabel="N/A       " dataDxfId="2454" totalsRowDxfId="2453"/>
    <tableColumn id="3" name="Legal_x000a_Reference_x000a_(Ch./Year)" totalsRowLabel="N/A       " dataDxfId="2452" totalsRowDxfId="2451"/>
    <tableColumn id="4" name="Program_x000a_Number" totalsRowLabel="N/A       " dataDxfId="2450" totalsRowDxfId="2449"/>
    <tableColumn id="5" name="Program_x000a_Costs" totalsRowFunction="sum" dataDxfId="2448" totalsRowDxfId="2447"/>
    <tableColumn id="6" name="Less: Net _x000a_Payments_x000a_ and Offsets 1" totalsRowFunction="sum" dataDxfId="2446" totalsRowDxfId="2445"/>
    <tableColumn id="7" name="Comment" totalsRowLabel="N/A       " dataDxfId="2444" totalsRowDxfId="2443"/>
    <tableColumn id="8" name="Accounts Payable_x000a_Balance" totalsRowFunction="sum" dataDxfId="2442" totalsRowDxfId="2441"/>
    <tableColumn id="9" name="Established_x000a_Accounts Receivable" totalsRowFunction="sum" dataDxfId="2440" totalsRowDxfId="2439"/>
    <tableColumn id="10" name="Less: _x000a_Recovered _x000a_Amount" totalsRowFunction="sum" dataDxfId="2438" totalsRowDxfId="2437"/>
    <tableColumn id="11" name="Accounts Receivable_x000a_Balance" totalsRowFunction="sum" dataDxfId="2436" totalsRowDxfId="2435"/>
    <tableColumn id="12" name="Net_x000a_Balance" totalsRowFunction="sum" dataDxfId="2434" totalsRowDxfId="24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4.xml><?xml version="1.0" encoding="utf-8"?>
<table xmlns="http://schemas.openxmlformats.org/spreadsheetml/2006/main" id="55" name="local199596" displayName="local199596" ref="A300:L302" totalsRowCount="1" headerRowDxfId="2432" dataDxfId="2430" totalsRowDxfId="2428" headerRowBorderDxfId="2431" tableBorderDxfId="2429" headerRowCellStyle="Currency">
  <autoFilter ref="A300:L301"/>
  <tableColumns count="12">
    <tableColumn id="1" name="Fiscal_x000a_Year" totalsRowLabel="1996-97 Total" dataDxfId="2427" totalsRowDxfId="2426"/>
    <tableColumn id="2" name="Program_x000a_Name" totalsRowLabel="N/A       " dataDxfId="2425" totalsRowDxfId="2424"/>
    <tableColumn id="3" name="Legal_x000a_Reference_x000a_(Ch./Year)" totalsRowLabel="N/A       " dataDxfId="2423" totalsRowDxfId="2422"/>
    <tableColumn id="4" name="Program_x000a_Number" totalsRowLabel="N/A       " dataDxfId="2421" totalsRowDxfId="2420"/>
    <tableColumn id="5" name="Program_x000a_Costs" totalsRowFunction="sum" dataDxfId="2419" totalsRowDxfId="2418"/>
    <tableColumn id="6" name="Less: Net _x000a_Payments_x000a_ and Offsets 1" totalsRowFunction="sum" dataDxfId="2417" totalsRowDxfId="2416"/>
    <tableColumn id="7" name="Comment" totalsRowLabel="N/A       " dataDxfId="2415" totalsRowDxfId="2414"/>
    <tableColumn id="8" name="Accounts Payable_x000a_Balance" totalsRowFunction="sum" dataDxfId="2413" totalsRowDxfId="2412"/>
    <tableColumn id="9" name="Established_x000a_Accounts Receivable" totalsRowFunction="sum" dataDxfId="2411" totalsRowDxfId="2410"/>
    <tableColumn id="10" name="Less: _x000a_Recovered _x000a_Amount" totalsRowFunction="sum" dataDxfId="2409" totalsRowDxfId="2408"/>
    <tableColumn id="11" name="Accounts Receivable_x000a_Balance" totalsRowFunction="sum" dataDxfId="2407" totalsRowDxfId="2406"/>
    <tableColumn id="12" name="Net_x000a_Balance" totalsRowFunction="sum" dataDxfId="2405" totalsRowDxfId="24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5.xml><?xml version="1.0" encoding="utf-8"?>
<table xmlns="http://schemas.openxmlformats.org/spreadsheetml/2006/main" id="56" name="local199495" displayName="local199495" ref="A309:L311" totalsRowCount="1" headerRowDxfId="2403" dataDxfId="2401" totalsRowDxfId="2399" headerRowBorderDxfId="2402" tableBorderDxfId="2400" headerRowCellStyle="Currency">
  <autoFilter ref="A309:L310"/>
  <tableColumns count="12">
    <tableColumn id="1" name="Fiscal_x000a_Year" totalsRowLabel="1994-95 Total" dataDxfId="2398" totalsRowDxfId="2397"/>
    <tableColumn id="2" name="Program_x000a_Name" totalsRowLabel="N/A       " dataDxfId="2396" totalsRowDxfId="2395"/>
    <tableColumn id="3" name="Legal_x000a_Reference_x000a_(Ch./Year)" totalsRowLabel="N/A       " dataDxfId="2394" totalsRowDxfId="2393"/>
    <tableColumn id="4" name="Program_x000a_Number" totalsRowLabel="N/A       " dataDxfId="2392" totalsRowDxfId="2391"/>
    <tableColumn id="5" name="Program_x000a_Costs" totalsRowFunction="sum" dataDxfId="2390" totalsRowDxfId="2389"/>
    <tableColumn id="6" name="Less: Net _x000a_Payments_x000a_ and Offsets 1" totalsRowFunction="sum" dataDxfId="2388" totalsRowDxfId="2387"/>
    <tableColumn id="7" name="Comment" totalsRowLabel="N/A       " dataDxfId="2386" totalsRowDxfId="2385"/>
    <tableColumn id="8" name="Accounts Payable_x000a_Balance" totalsRowFunction="sum" dataDxfId="2384" totalsRowDxfId="2383"/>
    <tableColumn id="9" name="Established_x000a_Accounts Receivable" totalsRowFunction="sum" dataDxfId="2382" totalsRowDxfId="2381"/>
    <tableColumn id="10" name="Less: _x000a_Recovered _x000a_Amount" totalsRowFunction="sum" dataDxfId="2380" totalsRowDxfId="2379"/>
    <tableColumn id="11" name="Accounts Receivable_x000a_Balance" totalsRowFunction="sum" dataDxfId="2378" totalsRowDxfId="2377"/>
    <tableColumn id="12" name="Net_x000a_Balance" totalsRowFunction="sum" dataDxfId="2376" totalsRowDxfId="237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6.xml><?xml version="1.0" encoding="utf-8"?>
<table xmlns="http://schemas.openxmlformats.org/spreadsheetml/2006/main" id="57" name="local199293" displayName="local199293" ref="A313:L316" totalsRowCount="1" headerRowDxfId="2374" dataDxfId="2372" totalsRowDxfId="2370" headerRowBorderDxfId="2373" tableBorderDxfId="2371" headerRowCellStyle="Currency">
  <autoFilter ref="A313:L315"/>
  <tableColumns count="12">
    <tableColumn id="1" name="Fiscal_x000a_Year" totalsRowLabel="1992-93 Total" dataDxfId="2369" totalsRowDxfId="2368"/>
    <tableColumn id="2" name="Program_x000a_Name" totalsRowLabel="N/A       " dataDxfId="2367" totalsRowDxfId="2366"/>
    <tableColumn id="3" name="Legal_x000a_Reference_x000a_(Ch./Year)" totalsRowLabel="N/A       " dataDxfId="2365" totalsRowDxfId="2364"/>
    <tableColumn id="4" name="Program_x000a_Number" totalsRowLabel="N/A       " dataDxfId="2363" totalsRowDxfId="2362"/>
    <tableColumn id="5" name="Program_x000a_Costs" totalsRowFunction="sum" dataDxfId="2361" totalsRowDxfId="2360"/>
    <tableColumn id="6" name="Less: Net _x000a_Payments_x000a_ and Offsets 1" totalsRowFunction="sum" dataDxfId="2359" totalsRowDxfId="2358"/>
    <tableColumn id="7" name="Comment" totalsRowLabel="N/A       " dataDxfId="2357" totalsRowDxfId="2356"/>
    <tableColumn id="8" name="Accounts Payable_x000a_Balance" totalsRowFunction="sum" dataDxfId="2355" totalsRowDxfId="2354"/>
    <tableColumn id="9" name="Established_x000a_Accounts Receivable" totalsRowFunction="sum" dataDxfId="2353" totalsRowDxfId="2352"/>
    <tableColumn id="10" name="Less: _x000a_Recovered _x000a_Amount" totalsRowFunction="sum" dataDxfId="2351" totalsRowDxfId="2350"/>
    <tableColumn id="11" name="Accounts Receivable_x000a_Balance" totalsRowFunction="sum" dataDxfId="2349" totalsRowDxfId="2348"/>
    <tableColumn id="12" name="Net_x000a_Balance" totalsRowFunction="sum" dataDxfId="2347" totalsRowDxfId="23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7.xml><?xml version="1.0" encoding="utf-8"?>
<table xmlns="http://schemas.openxmlformats.org/spreadsheetml/2006/main" id="58" name="local199192" displayName="local199192" ref="A318:L322" totalsRowCount="1" headerRowDxfId="2345" dataDxfId="2343" totalsRowDxfId="2341" headerRowBorderDxfId="2344" tableBorderDxfId="2342" headerRowCellStyle="Currency">
  <autoFilter ref="A318:L321"/>
  <tableColumns count="12">
    <tableColumn id="1" name="Fiscal_x000a_Year" totalsRowLabel="1991-92 Total" dataDxfId="2340" totalsRowDxfId="2339"/>
    <tableColumn id="2" name="Program_x000a_Name" totalsRowLabel="N/A       " dataDxfId="2338" totalsRowDxfId="2337"/>
    <tableColumn id="3" name="Legal_x000a_Reference_x000a_(Ch./Year)" totalsRowLabel="N/A       " dataDxfId="2336" totalsRowDxfId="2335"/>
    <tableColumn id="4" name="Program_x000a_Number" totalsRowLabel="N/A       " dataDxfId="2334" totalsRowDxfId="2333"/>
    <tableColumn id="5" name="Program_x000a_Costs" totalsRowFunction="sum" dataDxfId="2332" totalsRowDxfId="2331"/>
    <tableColumn id="6" name="Less: Net _x000a_Payments_x000a_ and Offsets 1" totalsRowFunction="sum" dataDxfId="2330" totalsRowDxfId="2329"/>
    <tableColumn id="7" name="Comment" totalsRowLabel="N/A       " dataDxfId="2328" totalsRowDxfId="2327"/>
    <tableColumn id="8" name="Accounts Payable_x000a_Balance" totalsRowFunction="sum" dataDxfId="2326" totalsRowDxfId="2325"/>
    <tableColumn id="9" name="Established_x000a_Accounts Receivable" totalsRowFunction="sum" dataDxfId="2324" totalsRowDxfId="2323"/>
    <tableColumn id="10" name="Less: _x000a_Recovered _x000a_Amount" totalsRowFunction="sum" dataDxfId="2322" totalsRowDxfId="2321"/>
    <tableColumn id="11" name="Accounts Receivable_x000a_Balance" totalsRowFunction="sum" dataDxfId="2320" totalsRowDxfId="2319"/>
    <tableColumn id="12" name="Net_x000a_Balance" totalsRowFunction="sum" dataDxfId="2318" totalsRowDxfId="231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48.xml><?xml version="1.0" encoding="utf-8"?>
<table xmlns="http://schemas.openxmlformats.org/spreadsheetml/2006/main" id="59" name="localgrandtotal" displayName="localgrandtotal" ref="A324:L355" totalsRowCount="1" headerRowDxfId="2316" dataDxfId="2314" totalsRowDxfId="2312" headerRowBorderDxfId="2315" tableBorderDxfId="2313" headerRowCellStyle="Currency">
  <autoFilter ref="A324:L354"/>
  <tableColumns count="12">
    <tableColumn id="1" name="Fiscal_x000a_Year" totalsRowLabel="Total Local Agencies" dataDxfId="2311"/>
    <tableColumn id="2" name="Program_x000a_Name" totalsRowLabel="N/A       " dataDxfId="2310"/>
    <tableColumn id="3" name="Legal_x000a_Reference_x000a_(Ch./Year)" totalsRowLabel="N/A       " dataDxfId="2309"/>
    <tableColumn id="4" name="Program_x000a_Number" totalsRowLabel="N/A       " dataDxfId="2308"/>
    <tableColumn id="5" name="Program_x000a_Costs" totalsRowFunction="custom" dataDxfId="2307">
      <totalsRowFormula>SUM(E325:E354)</totalsRowFormula>
    </tableColumn>
    <tableColumn id="6" name="Less: Net _x000a_Payments_x000a_ and Offsets 1" totalsRowFunction="custom" dataDxfId="2306">
      <totalsRowFormula>SUM(F325:F354)</totalsRowFormula>
    </tableColumn>
    <tableColumn id="7" name="Comment" totalsRowLabel="N/A       " dataDxfId="2305"/>
    <tableColumn id="8" name="Accounts Payable_x000a_Balance" totalsRowFunction="custom" dataDxfId="2304">
      <totalsRowFormula>SUM(H325:H354)</totalsRowFormula>
    </tableColumn>
    <tableColumn id="9" name="Established_x000a_Accounts Receivable" totalsRowFunction="custom" dataDxfId="2303">
      <totalsRowFormula>SUM(I325:I354)</totalsRowFormula>
    </tableColumn>
    <tableColumn id="10" name="Less: _x000a_Recovered _x000a_Amount" totalsRowFunction="custom" dataDxfId="2302">
      <totalsRowFormula>SUM(J325:J354)</totalsRowFormula>
    </tableColumn>
    <tableColumn id="11" name="Accounts Receivable_x000a_Balance" totalsRowFunction="custom" dataDxfId="2301">
      <totalsRowFormula>SUM(K325:K354)</totalsRowFormula>
    </tableColumn>
    <tableColumn id="12" name="Net_x000a_Balance" totalsRowFunction="custom" dataDxfId="2300">
      <totalsRowFormula>SUM(L325:L354)</totalsRow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 grand total"/>
    </ext>
  </extLst>
</table>
</file>

<file path=xl/tables/table49.xml><?xml version="1.0" encoding="utf-8"?>
<table xmlns="http://schemas.openxmlformats.org/spreadsheetml/2006/main" id="118" name="local199293119" displayName="local199293119" ref="A304:L307" totalsRowCount="1" headerRowDxfId="2299" dataDxfId="2297" totalsRowDxfId="2295" headerRowBorderDxfId="2298" tableBorderDxfId="2296" headerRowCellStyle="Currency">
  <autoFilter ref="A304:L306"/>
  <tableColumns count="12">
    <tableColumn id="1" name="Fiscal_x000a_Year" totalsRowLabel="1995-96 Total" dataDxfId="2294" totalsRowDxfId="2293"/>
    <tableColumn id="2" name="Program_x000a_Name" totalsRowLabel="N/A       " dataDxfId="2292" totalsRowDxfId="2291"/>
    <tableColumn id="3" name="Legal_x000a_Reference_x000a_(Ch./Year)" totalsRowLabel="N/A       " dataDxfId="2290" totalsRowDxfId="2289"/>
    <tableColumn id="4" name="Program_x000a_Number" totalsRowLabel="N/A       " dataDxfId="2288" totalsRowDxfId="2287"/>
    <tableColumn id="5" name="Program_x000a_Costs" totalsRowFunction="sum" dataDxfId="2286" totalsRowDxfId="2285"/>
    <tableColumn id="6" name="Less: Net _x000a_Payments_x000a_ and Offsets 1" totalsRowFunction="sum" dataDxfId="2284" totalsRowDxfId="2283"/>
    <tableColumn id="7" name="Comment" totalsRowLabel="N/A       " dataDxfId="2282" totalsRowDxfId="2281"/>
    <tableColumn id="8" name="Accounts Payable_x000a_Balance" totalsRowFunction="sum" dataDxfId="2280" totalsRowDxfId="2279"/>
    <tableColumn id="9" name="Established_x000a_Accounts Receivable" totalsRowFunction="sum" dataDxfId="2278" totalsRowDxfId="2277"/>
    <tableColumn id="10" name="Less: _x000a_Recovered _x000a_Amount" totalsRowFunction="sum" dataDxfId="2276" totalsRowDxfId="2275"/>
    <tableColumn id="11" name="Accounts Receivable_x000a_Balance" totalsRowFunction="sum" dataDxfId="2274" totalsRowDxfId="2273"/>
    <tableColumn id="12" name="Net_x000a_Balance" totalsRowFunction="sum" dataDxfId="2272" totalsRowDxfId="22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Local Agencies"/>
    </ext>
  </extLst>
</table>
</file>

<file path=xl/tables/table5.xml><?xml version="1.0" encoding="utf-8"?>
<table xmlns="http://schemas.openxmlformats.org/spreadsheetml/2006/main" id="125" name="ccdgeneralfund" displayName="ccdgeneralfund" ref="A26:M30" totalsRowCount="1" dataDxfId="3490" totalsRowDxfId="3489" headerRowBorderDxfId="3491" totalsRowBorderDxfId="3488">
  <autoFilter ref="A26:M29"/>
  <tableColumns count="13">
    <tableColumn id="1" name="Program Category_x000a_ and Fund" totalsRowLabel="Community College Districts-General Fund Total" dataDxfId="3487" totalsRowDxfId="132"/>
    <tableColumn id="2" name="Appropriation_x000a_Number" totalsRowLabel="N/A" dataDxfId="3486" totalsRowDxfId="131"/>
    <tableColumn id="3" name="Legal_x000a_Reference_x000a_(Ch./Year)" totalsRowLabel="N/A" dataDxfId="3485" totalsRowDxfId="130"/>
    <tableColumn id="4" name="Fiscal Year of_x000a_Claims Paid" totalsRowLabel="N/A" dataDxfId="3484" totalsRowDxfId="129"/>
    <tableColumn id="5" name="Reversion Date" totalsRowLabel="N/A" dataDxfId="3483" totalsRowDxfId="128"/>
    <tableColumn id="6" name="Original_x000a_Appropriation_x000a_Amount" totalsRowFunction="sum" dataDxfId="3482" totalsRowDxfId="127"/>
    <tableColumn id="7" name="Appropriation Balances1 " totalsRowFunction="sum" dataDxfId="3481" totalsRowDxfId="126"/>
    <tableColumn id="8" name="Comment" totalsRowLabel="N/A" dataDxfId="3480" totalsRowDxfId="125"/>
    <tableColumn id="9" name="Budget Adjustments" totalsRowFunction="sum" dataDxfId="3479" totalsRowDxfId="124" dataCellStyle="Currency"/>
    <tableColumn id="10" name="N/A" totalsRowLabel="N/A" dataDxfId="3478" totalsRowDxfId="123" dataCellStyle="Currency"/>
    <tableColumn id="11" name="Add: Receipts_x000a_and Recovered_x000a_Amounts" totalsRowFunction="sum" dataDxfId="3477" totalsRowDxfId="122"/>
    <tableColumn id="12" name="Less: Mandated Program Payments, Offsets, and Interest (see Schedule A1)" totalsRowFunction="sum" dataDxfId="3476" totalsRowDxfId="121" dataCellStyle="Currency"/>
    <tableColumn id="13" name="Appropriation_x000a_Balances_x000a_as of 4/1/2023" totalsRowFunction="sum" dataDxfId="3475" totalsRowDxfId="120">
      <calculatedColumnFormula>G27+K27-L27+I27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For Community College Districts-General Fund."/>
    </ext>
  </extLst>
</table>
</file>

<file path=xl/tables/table50.xml><?xml version="1.0" encoding="utf-8"?>
<table xmlns="http://schemas.openxmlformats.org/spreadsheetml/2006/main" id="1" name="school202021" displayName="school202021" ref="A31:L55" totalsRowCount="1" headerRowDxfId="2270" dataDxfId="2269" totalsRowDxfId="2268">
  <autoFilter ref="A31:L54"/>
  <tableColumns count="12">
    <tableColumn id="1" name="Fiscal_x000a_Year" totalsRowLabel="2020-21 Total" dataDxfId="2267" totalsRowDxfId="2266"/>
    <tableColumn id="2" name="Program_x000a_Name" totalsRowLabel="N/A" dataDxfId="2265" totalsRowDxfId="2264"/>
    <tableColumn id="3" name="Legal_x000a_Reference_x000a_(Ch./Year)" totalsRowLabel="N/A" dataDxfId="2263" totalsRowDxfId="2262"/>
    <tableColumn id="4" name="Program_x000a_Number" totalsRowLabel="N/A" dataDxfId="2261" totalsRowDxfId="2260"/>
    <tableColumn id="5" name="Program_x000a_Costs" totalsRowFunction="sum" dataDxfId="2259" totalsRowDxfId="2258"/>
    <tableColumn id="6" name="Less: Net_x000a_Payments and _x000a_Offsets 2" totalsRowFunction="sum" dataDxfId="2257" totalsRowDxfId="2256"/>
    <tableColumn id="7" name="Comment: This amount includes offsets applied from prior years." totalsRowLabel="N/A" dataDxfId="2255" totalsRowDxfId="2254" dataCellStyle="Currency"/>
    <tableColumn id="8" name="Accounts Payable_x000a_Balance" totalsRowFunction="sum" dataDxfId="2253" totalsRowDxfId="2252"/>
    <tableColumn id="9" name="Established_x000a_Accounts Receivable" totalsRowFunction="sum" dataDxfId="2251" totalsRowDxfId="2250"/>
    <tableColumn id="10" name="Less: _x000a_Recovered _x000a_Amount" totalsRowFunction="sum" dataDxfId="2249" totalsRowDxfId="2248"/>
    <tableColumn id="11" name="Accounts Receivable_x000a_Balance" totalsRowFunction="sum" dataDxfId="2247" totalsRowDxfId="2246"/>
    <tableColumn id="12" name="Net_x000a_Balance" totalsRowFunction="sum" dataDxfId="2245" totalsRowDxfId="22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1.xml><?xml version="1.0" encoding="utf-8"?>
<table xmlns="http://schemas.openxmlformats.org/spreadsheetml/2006/main" id="2" name="school201920" displayName="school201920" ref="A57:L84" totalsRowCount="1" headerRowDxfId="2243" dataDxfId="2241" totalsRowDxfId="2239" headerRowBorderDxfId="2242" tableBorderDxfId="2240">
  <autoFilter ref="A57:L83"/>
  <tableColumns count="12">
    <tableColumn id="1" name="Fiscal_x000a_Year" totalsRowLabel="2019-20 Total" dataDxfId="2238" totalsRowDxfId="2237"/>
    <tableColumn id="2" name="Program_x000a_Name" totalsRowLabel="N/A" dataDxfId="2236" totalsRowDxfId="2235"/>
    <tableColumn id="3" name="Legal_x000a_Reference_x000a_(Ch./Year)" totalsRowLabel="N/A" dataDxfId="2234" totalsRowDxfId="2233"/>
    <tableColumn id="4" name="Program_x000a_Number" totalsRowLabel="N/A" dataDxfId="2232" totalsRowDxfId="2231"/>
    <tableColumn id="5" name="Program_x000a_Costs" totalsRowFunction="sum" dataDxfId="2230" totalsRowDxfId="2229"/>
    <tableColumn id="6" name="Less: Net_x000a_ Payments and _x000a_Offsets 2" totalsRowFunction="sum" dataDxfId="2228" totalsRowDxfId="2227"/>
    <tableColumn id="7" name="Comment" totalsRowLabel="N/A" dataDxfId="2226" totalsRowDxfId="2225" dataCellStyle="Currency"/>
    <tableColumn id="8" name="Accounts Payable_x000a_Balance" totalsRowFunction="sum" dataDxfId="2224" totalsRowDxfId="2223"/>
    <tableColumn id="9" name="Established_x000a_Accounts Receivable" totalsRowFunction="sum" dataDxfId="2222" totalsRowDxfId="2221"/>
    <tableColumn id="10" name="Less: _x000a_Recovered _x000a_Amount" totalsRowFunction="sum" dataDxfId="2220" totalsRowDxfId="2219"/>
    <tableColumn id="11" name="Accounts Receivable_x000a_Balance" totalsRowFunction="sum" dataDxfId="2218" totalsRowDxfId="2217"/>
    <tableColumn id="12" name="Net_x000a_Balance" totalsRowFunction="sum" dataDxfId="2216" totalsRowDxfId="221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2.xml><?xml version="1.0" encoding="utf-8"?>
<table xmlns="http://schemas.openxmlformats.org/spreadsheetml/2006/main" id="3" name="school201819" displayName="school201819" ref="A86:L119" totalsRowCount="1" headerRowDxfId="2214" dataDxfId="2212" totalsRowDxfId="2210" headerRowBorderDxfId="2213" tableBorderDxfId="2211">
  <autoFilter ref="A86:L118"/>
  <tableColumns count="12">
    <tableColumn id="1" name="Fiscal_x000a_Year" totalsRowLabel="2018-19 Total" dataDxfId="2209" totalsRowDxfId="2208"/>
    <tableColumn id="2" name="Program_x000a_Name" totalsRowLabel="N/A" dataDxfId="2207" totalsRowDxfId="2206"/>
    <tableColumn id="3" name="Legal_x000a_Reference_x000a_(Ch./Year)" totalsRowLabel="N/A" dataDxfId="2205" totalsRowDxfId="2204"/>
    <tableColumn id="4" name="Program_x000a_Number" totalsRowLabel="N/A" dataDxfId="2203" totalsRowDxfId="2202"/>
    <tableColumn id="5" name="Program_x000a_Costs" totalsRowFunction="sum" dataDxfId="2201" totalsRowDxfId="2200"/>
    <tableColumn id="6" name="Less: Net_x000a_ Payments and _x000a_Offsets 2" totalsRowFunction="sum" dataDxfId="2199" totalsRowDxfId="2198"/>
    <tableColumn id="7" name="Comment" totalsRowLabel="N/A" dataDxfId="2197" totalsRowDxfId="2196" dataCellStyle="Currency"/>
    <tableColumn id="8" name="Accounts Payable_x000a_Balance" totalsRowFunction="sum" dataDxfId="2195" totalsRowDxfId="2194"/>
    <tableColumn id="9" name="Established_x000a_Accounts Receivable" totalsRowFunction="sum" dataDxfId="2193" totalsRowDxfId="2192"/>
    <tableColumn id="10" name="Less: _x000a_Recovered _x000a_Amount" totalsRowFunction="sum" dataDxfId="2191" totalsRowDxfId="2190"/>
    <tableColumn id="11" name="Accounts Receivable_x000a_Balance" totalsRowFunction="sum" dataDxfId="2189" totalsRowDxfId="2188"/>
    <tableColumn id="12" name="Net_x000a_Balance" totalsRowFunction="sum" dataDxfId="2187" totalsRowDxfId="21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3.xml><?xml version="1.0" encoding="utf-8"?>
<table xmlns="http://schemas.openxmlformats.org/spreadsheetml/2006/main" id="4" name="school201718" displayName="school201718" ref="A121:L155" totalsRowCount="1" headerRowDxfId="2185" dataDxfId="2183" totalsRowDxfId="2181" headerRowBorderDxfId="2184" tableBorderDxfId="2182">
  <autoFilter ref="A121:L154"/>
  <tableColumns count="12">
    <tableColumn id="1" name="Fiscal_x000a_Year" totalsRowLabel="2017-18 Total" dataDxfId="2180" totalsRowDxfId="2179"/>
    <tableColumn id="2" name="Program_x000a_Name" totalsRowLabel="N/A" dataDxfId="2178" totalsRowDxfId="2177"/>
    <tableColumn id="3" name="Legal_x000a_Reference_x000a_(Ch./Year)" totalsRowLabel="N/A" dataDxfId="2176" totalsRowDxfId="2175"/>
    <tableColumn id="4" name="Program_x000a_Number" totalsRowLabel="N/A" dataDxfId="2174" totalsRowDxfId="2173"/>
    <tableColumn id="5" name="Program_x000a_Costs" totalsRowFunction="sum" dataDxfId="2172" totalsRowDxfId="2171"/>
    <tableColumn id="6" name="Less: Net_x000a_ Payments and _x000a_Offsets 2" totalsRowFunction="sum" dataDxfId="2170" totalsRowDxfId="2169"/>
    <tableColumn id="7" name="Comment" totalsRowLabel="N/A" dataDxfId="2168" totalsRowDxfId="2167" dataCellStyle="Currency"/>
    <tableColumn id="8" name="Accounts Payable_x000a_Balance" totalsRowFunction="sum" dataDxfId="2166" totalsRowDxfId="2165"/>
    <tableColumn id="9" name="Established_x000a_Accounts Receivable" totalsRowFunction="sum" dataDxfId="2164" totalsRowDxfId="2163"/>
    <tableColumn id="10" name="Less: _x000a_Recovered _x000a_Amount" totalsRowFunction="sum" dataDxfId="2162" totalsRowDxfId="2161"/>
    <tableColumn id="11" name="Accounts Receivable_x000a_Balance" totalsRowFunction="sum" dataDxfId="2160" totalsRowDxfId="2159"/>
    <tableColumn id="12" name="Net_x000a_Balance" totalsRowFunction="sum" dataDxfId="2158" totalsRowDxfId="215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4.xml><?xml version="1.0" encoding="utf-8"?>
<table xmlns="http://schemas.openxmlformats.org/spreadsheetml/2006/main" id="5" name="school201617" displayName="school201617" ref="A157:L190" totalsRowCount="1" headerRowDxfId="2156" dataDxfId="2154" totalsRowDxfId="2152" headerRowBorderDxfId="2155" tableBorderDxfId="2153">
  <autoFilter ref="A157:L189"/>
  <tableColumns count="12">
    <tableColumn id="1" name="Fiscal_x000a_Year" totalsRowLabel="2016-17 Total" dataDxfId="2151" totalsRowDxfId="2150"/>
    <tableColumn id="2" name="Program_x000a_Name" totalsRowLabel="N/A" dataDxfId="2149" totalsRowDxfId="2148"/>
    <tableColumn id="3" name="Legal_x000a_Reference_x000a_(Ch./Year)" totalsRowLabel="N/A" dataDxfId="2147" totalsRowDxfId="2146"/>
    <tableColumn id="4" name="Program_x000a_Number" totalsRowLabel="N/A" dataDxfId="2145" totalsRowDxfId="2144"/>
    <tableColumn id="5" name="Program_x000a_Costs" totalsRowFunction="sum" dataDxfId="2143" totalsRowDxfId="2142"/>
    <tableColumn id="6" name="Less: Net_x000a_ Payments and _x000a_Offsets 2" totalsRowFunction="sum" dataDxfId="2141" totalsRowDxfId="2140"/>
    <tableColumn id="7" name="Comment" totalsRowLabel="N/A" dataDxfId="2139" totalsRowDxfId="2138" dataCellStyle="Currency"/>
    <tableColumn id="8" name="Accounts Payable_x000a_Balance" totalsRowFunction="sum" dataDxfId="2137" totalsRowDxfId="2136"/>
    <tableColumn id="9" name="Established_x000a_Accounts Receivable" totalsRowFunction="sum" dataDxfId="2135" totalsRowDxfId="2134"/>
    <tableColumn id="10" name="Less: _x000a_Recovered _x000a_Amount" totalsRowFunction="sum" dataDxfId="2133" totalsRowDxfId="2132"/>
    <tableColumn id="11" name="Accounts Receivable_x000a_Balance" totalsRowFunction="sum" dataDxfId="2131" totalsRowDxfId="2130"/>
    <tableColumn id="12" name="Net_x000a_Balance" totalsRowFunction="sum" dataDxfId="2129" totalsRowDxfId="21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5.xml><?xml version="1.0" encoding="utf-8"?>
<table xmlns="http://schemas.openxmlformats.org/spreadsheetml/2006/main" id="6" name="school201516" displayName="school201516" ref="A192:L226" totalsRowCount="1" headerRowDxfId="2127" dataDxfId="2125" totalsRowDxfId="2123" headerRowBorderDxfId="2126" tableBorderDxfId="2124">
  <autoFilter ref="A192:L225"/>
  <tableColumns count="12">
    <tableColumn id="1" name="Fiscal_x000a_Year" totalsRowLabel="2015-16 Total" dataDxfId="2122" totalsRowDxfId="2121"/>
    <tableColumn id="2" name="Program_x000a_Name" totalsRowLabel="N/A" dataDxfId="2120" totalsRowDxfId="2119"/>
    <tableColumn id="3" name="Legal_x000a_Reference_x000a_(Ch./Year)" totalsRowLabel="N/A" dataDxfId="2118" totalsRowDxfId="2117"/>
    <tableColumn id="4" name="Program_x000a_Number" totalsRowLabel="N/A" dataDxfId="2116" totalsRowDxfId="2115"/>
    <tableColumn id="5" name="Program_x000a_Costs" totalsRowFunction="sum" dataDxfId="2114" totalsRowDxfId="2113"/>
    <tableColumn id="6" name="Less: Net_x000a_ Payments and _x000a_Offsets 2" totalsRowFunction="sum" dataDxfId="2112" totalsRowDxfId="2111"/>
    <tableColumn id="7" name="Comment" totalsRowLabel="N/A" dataDxfId="2110" totalsRowDxfId="2109" dataCellStyle="Currency"/>
    <tableColumn id="8" name="Accounts Payable_x000a_Balance" totalsRowFunction="sum" dataDxfId="2108" totalsRowDxfId="2107"/>
    <tableColumn id="9" name="Established_x000a_Accounts Receivable" totalsRowFunction="sum" dataDxfId="2106" totalsRowDxfId="2105"/>
    <tableColumn id="10" name="Less: _x000a_Recovered _x000a_Amount" totalsRowFunction="sum" dataDxfId="2104" totalsRowDxfId="2103"/>
    <tableColumn id="11" name="Accounts Receivable_x000a_Balance" totalsRowFunction="sum" dataDxfId="2102" totalsRowDxfId="2101"/>
    <tableColumn id="12" name="Net_x000a_Balance" totalsRowFunction="sum" dataDxfId="2100" totalsRowDxfId="209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6.xml><?xml version="1.0" encoding="utf-8"?>
<table xmlns="http://schemas.openxmlformats.org/spreadsheetml/2006/main" id="8" name="school201415" displayName="school201415" ref="A228:L269" totalsRowCount="1" headerRowDxfId="2098" dataDxfId="2096" totalsRowDxfId="2094" headerRowBorderDxfId="2097" tableBorderDxfId="2095">
  <autoFilter ref="A228:L268"/>
  <tableColumns count="12">
    <tableColumn id="1" name="Fiscal_x000a_Year" totalsRowLabel="2014-15 Total" dataDxfId="2093" totalsRowDxfId="2092"/>
    <tableColumn id="2" name="Program_x000a_Name" totalsRowLabel="N/A" dataDxfId="2091" totalsRowDxfId="2090"/>
    <tableColumn id="3" name="Legal_x000a_Reference_x000a_(Ch./Year)" totalsRowLabel="N/A" dataDxfId="2089" totalsRowDxfId="2088"/>
    <tableColumn id="4" name="Program_x000a_Number" totalsRowLabel="N/A" dataDxfId="2087" totalsRowDxfId="2086"/>
    <tableColumn id="5" name="Program_x000a_Costs" totalsRowFunction="sum" dataDxfId="2085" totalsRowDxfId="2084"/>
    <tableColumn id="6" name="Less: Net_x000a_ Payments and _x000a_Offsets 2" totalsRowFunction="sum" dataDxfId="2083" totalsRowDxfId="2082"/>
    <tableColumn id="7" name="Comment" totalsRowLabel="N/A" dataDxfId="2081" totalsRowDxfId="2080" dataCellStyle="Currency"/>
    <tableColumn id="8" name="Accounts Payable_x000a_Balance" totalsRowFunction="sum" dataDxfId="2079" totalsRowDxfId="2078"/>
    <tableColumn id="9" name="Established_x000a_Accounts Receivable" totalsRowFunction="sum" dataDxfId="2077" totalsRowDxfId="2076"/>
    <tableColumn id="10" name="Less: _x000a_Recovered _x000a_Amount" totalsRowFunction="sum" dataDxfId="2075" totalsRowDxfId="2074"/>
    <tableColumn id="11" name="Accounts Receivable_x000a_Balance" totalsRowFunction="sum" dataDxfId="2073" totalsRowDxfId="2072"/>
    <tableColumn id="12" name="Net_x000a_Balance" totalsRowFunction="sum" dataDxfId="2071" totalsRowDxfId="207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7.xml><?xml version="1.0" encoding="utf-8"?>
<table xmlns="http://schemas.openxmlformats.org/spreadsheetml/2006/main" id="9" name="school201314" displayName="school201314" ref="A271:L314" totalsRowCount="1" headerRowDxfId="2069" dataDxfId="2067" totalsRowDxfId="2065" headerRowBorderDxfId="2068" tableBorderDxfId="2066">
  <autoFilter ref="A271:L313"/>
  <tableColumns count="12">
    <tableColumn id="1" name="Fiscal_x000a_Year" totalsRowLabel="2013-14 Total" dataDxfId="2064" totalsRowDxfId="2063"/>
    <tableColumn id="2" name="Program_x000a_Name" totalsRowLabel="N/A" dataDxfId="2062" totalsRowDxfId="2061"/>
    <tableColumn id="3" name="Legal_x000a_Reference_x000a_(Ch./Year)" totalsRowLabel="N/A" dataDxfId="2060" totalsRowDxfId="2059"/>
    <tableColumn id="4" name="Program_x000a_Number" totalsRowLabel="N/A" dataDxfId="2058" totalsRowDxfId="2057"/>
    <tableColumn id="5" name="Program_x000a_Costs" totalsRowFunction="sum" dataDxfId="2056" totalsRowDxfId="2055"/>
    <tableColumn id="6" name="Less: Net_x000a_ Payments and _x000a_Offsets 2" totalsRowFunction="sum" dataDxfId="2054" totalsRowDxfId="2053"/>
    <tableColumn id="7" name="Comment" totalsRowLabel="N/A" dataDxfId="2052" totalsRowDxfId="2051" dataCellStyle="Currency"/>
    <tableColumn id="8" name="Accounts Payable_x000a_Balance" totalsRowFunction="sum" dataDxfId="2050" totalsRowDxfId="2049"/>
    <tableColumn id="9" name="Established_x000a_Accounts Receivable" totalsRowFunction="sum" dataDxfId="2048" totalsRowDxfId="2047"/>
    <tableColumn id="10" name="Less: _x000a_Recovered _x000a_Amount" totalsRowFunction="sum" dataDxfId="2046" totalsRowDxfId="2045"/>
    <tableColumn id="11" name="Accounts Receivable_x000a_Balance" totalsRowFunction="sum" dataDxfId="2044" totalsRowDxfId="2043"/>
    <tableColumn id="12" name="Net_x000a_Balance" totalsRowFunction="sum" dataDxfId="2042" totalsRowDxfId="20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8.xml><?xml version="1.0" encoding="utf-8"?>
<table xmlns="http://schemas.openxmlformats.org/spreadsheetml/2006/main" id="10" name="school201213" displayName="school201213" ref="A316:L361" totalsRowCount="1" headerRowDxfId="2040" dataDxfId="2038" totalsRowDxfId="2036" headerRowBorderDxfId="2039" tableBorderDxfId="2037">
  <autoFilter ref="A316:L360"/>
  <tableColumns count="12">
    <tableColumn id="1" name="Fiscal_x000a_Year" totalsRowLabel="2012-13 Total" dataDxfId="2035" totalsRowDxfId="2034"/>
    <tableColumn id="2" name="Program_x000a_Name" totalsRowLabel="N/A" dataDxfId="2033" totalsRowDxfId="2032"/>
    <tableColumn id="3" name="Legal_x000a_Reference_x000a_(Ch./Year)" totalsRowLabel="N/A" dataDxfId="2031" totalsRowDxfId="2030"/>
    <tableColumn id="4" name="Program_x000a_Number" totalsRowLabel="N/A" dataDxfId="2029" totalsRowDxfId="2028"/>
    <tableColumn id="5" name="Program_x000a_Costs" totalsRowFunction="sum" dataDxfId="2027" totalsRowDxfId="2026"/>
    <tableColumn id="6" name="Less: Net_x000a_ Payments and _x000a_Offsets 2" totalsRowFunction="sum" dataDxfId="2025" totalsRowDxfId="2024"/>
    <tableColumn id="7" name="Comment" totalsRowLabel="N/A" dataDxfId="2023" totalsRowDxfId="2022" dataCellStyle="Currency"/>
    <tableColumn id="8" name="Accounts Payable_x000a_Balance" totalsRowFunction="sum" dataDxfId="2021" totalsRowDxfId="2020"/>
    <tableColumn id="9" name="Established_x000a_Accounts Receivable" totalsRowFunction="sum" dataDxfId="2019" totalsRowDxfId="2018"/>
    <tableColumn id="10" name="Less: _x000a_Recovered _x000a_Amount" totalsRowFunction="sum" dataDxfId="2017" totalsRowDxfId="2016"/>
    <tableColumn id="11" name="Accounts Receivable_x000a_Balance" totalsRowFunction="sum" dataDxfId="2015" totalsRowDxfId="2014"/>
    <tableColumn id="12" name="Net_x000a_Balance" totalsRowFunction="sum" dataDxfId="2013" totalsRowDxfId="20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59.xml><?xml version="1.0" encoding="utf-8"?>
<table xmlns="http://schemas.openxmlformats.org/spreadsheetml/2006/main" id="11" name="school201112" displayName="school201112" ref="A363:L408" totalsRowCount="1" headerRowDxfId="2011" dataDxfId="2009" totalsRowDxfId="2007" headerRowBorderDxfId="2010" tableBorderDxfId="2008">
  <autoFilter ref="A363:L407"/>
  <tableColumns count="12">
    <tableColumn id="1" name="Fiscal_x000a_Year" totalsRowLabel="2011-12 Total" dataDxfId="2006" totalsRowDxfId="2005"/>
    <tableColumn id="2" name="Program_x000a_Name" totalsRowLabel="N/A" dataDxfId="2004" totalsRowDxfId="2003"/>
    <tableColumn id="3" name="Legal_x000a_Reference_x000a_(Ch./Year)" totalsRowLabel="N/A" dataDxfId="2002" totalsRowDxfId="2001"/>
    <tableColumn id="4" name="Program_x000a_Number" totalsRowLabel="N/A" dataDxfId="2000" totalsRowDxfId="1999"/>
    <tableColumn id="5" name="Program_x000a_Costs" totalsRowFunction="sum" dataDxfId="1998" totalsRowDxfId="1997"/>
    <tableColumn id="6" name="Less: Net_x000a_ Payments and _x000a_Offsets 2" totalsRowFunction="sum" dataDxfId="1996" totalsRowDxfId="1995"/>
    <tableColumn id="7" name="Comment" totalsRowLabel="N/A" dataDxfId="1994" totalsRowDxfId="1993" dataCellStyle="Currency"/>
    <tableColumn id="8" name="Accounts Payable_x000a_Balance" totalsRowFunction="sum" dataDxfId="1992" totalsRowDxfId="1991"/>
    <tableColumn id="9" name="Established_x000a_Accounts Receivable" totalsRowFunction="sum" dataDxfId="1990" totalsRowDxfId="1989"/>
    <tableColumn id="10" name="Less: _x000a_Recovered _x000a_Amount" totalsRowFunction="sum" dataDxfId="1988" totalsRowDxfId="1987"/>
    <tableColumn id="11" name="Accounts Receivable_x000a_Balance" totalsRowFunction="sum" dataDxfId="1986" totalsRowDxfId="1985"/>
    <tableColumn id="12" name="Net_x000a_Balance" totalsRowFunction="sum" dataDxfId="1984" totalsRowDxfId="198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.xml><?xml version="1.0" encoding="utf-8"?>
<table xmlns="http://schemas.openxmlformats.org/spreadsheetml/2006/main" id="126" name="grandtotala" displayName="grandtotala" ref="A32:M38" totalsRowCount="1" dataDxfId="3473" totalsRowDxfId="3471" headerRowBorderDxfId="3474" tableBorderDxfId="3472" totalsRowBorderDxfId="3470">
  <autoFilter ref="A32:M37"/>
  <tableColumns count="13">
    <tableColumn id="1" name="Program Category_x000a_ and Fund" totalsRowLabel="Grand Total" dataDxfId="3469" totalsRowDxfId="3468"/>
    <tableColumn id="2" name="Appropriation_x000a_Number" totalsRowLabel="N/A" dataDxfId="3467" totalsRowDxfId="3466"/>
    <tableColumn id="3" name="Legal_x000a_Reference_x000a_(Ch./Year)" totalsRowLabel="N/A" dataDxfId="3465" totalsRowDxfId="3464"/>
    <tableColumn id="4" name="Fiscal Year of_x000a_Claims Paid" totalsRowLabel="N/A" dataDxfId="3463" totalsRowDxfId="3462"/>
    <tableColumn id="5" name="Reversion Date" totalsRowLabel="N/A" dataDxfId="3461" totalsRowDxfId="3460"/>
    <tableColumn id="6" name="Original_x000a_Appropriation_x000a_Amount" totalsRowFunction="sum" dataDxfId="3459" totalsRowDxfId="3458"/>
    <tableColumn id="7" name="Appropriation Balances1 " totalsRowFunction="sum" dataDxfId="3457" totalsRowDxfId="3456"/>
    <tableColumn id="8" name="Comment" totalsRowLabel="N/A" dataDxfId="3455" totalsRowDxfId="3454"/>
    <tableColumn id="9" name="Budget Adjustments" totalsRowFunction="sum" dataDxfId="3453" totalsRowDxfId="3452"/>
    <tableColumn id="10" name="N/A" totalsRowLabel="N/A" dataDxfId="3451" totalsRowDxfId="3450"/>
    <tableColumn id="11" name="Add: Receipts_x000a_and Recovered_x000a_Amounts" totalsRowFunction="sum" dataDxfId="3449" totalsRowDxfId="3448"/>
    <tableColumn id="12" name="Less: Mandated Program Payments, Offsets, and Interest (see Schedule A1)" totalsRowFunction="sum" dataDxfId="3447" totalsRowDxfId="3446"/>
    <tableColumn id="13" name="Appropriation_x000a_Balances_x000a_as of 4/1/2023" totalsRowFunction="sum" dataDxfId="3445" totalsRowDxfId="3444">
      <calculatedColumnFormula>localgeneralfund[[#Totals],[Appropriation
Balances
as of 4/1/2023]]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: Summary of State-Mandated Program Appropriations, Receipts, and Payments. As of April 1, 2023. Grand total for all."/>
    </ext>
  </extLst>
</table>
</file>

<file path=xl/tables/table60.xml><?xml version="1.0" encoding="utf-8"?>
<table xmlns="http://schemas.openxmlformats.org/spreadsheetml/2006/main" id="12" name="school201011" displayName="school201011" ref="A410:L460" totalsRowCount="1" headerRowDxfId="1982" dataDxfId="1980" totalsRowDxfId="1978" headerRowBorderDxfId="1981" tableBorderDxfId="1979">
  <autoFilter ref="A410:L459"/>
  <tableColumns count="12">
    <tableColumn id="1" name="Fiscal_x000a_Year" totalsRowLabel="2010-11 Total" dataDxfId="1977" totalsRowDxfId="1976"/>
    <tableColumn id="2" name="Program_x000a_Name" totalsRowLabel="N/A" dataDxfId="1975" totalsRowDxfId="1974"/>
    <tableColumn id="3" name="Legal_x000a_Reference_x000a_(Ch./Year)" totalsRowLabel="N/A" dataDxfId="1973" totalsRowDxfId="1972"/>
    <tableColumn id="4" name="Program_x000a_Number" totalsRowLabel="N/A" dataDxfId="1971" totalsRowDxfId="1970"/>
    <tableColumn id="5" name="Program_x000a_Costs" totalsRowFunction="sum" dataDxfId="1969" totalsRowDxfId="1968"/>
    <tableColumn id="6" name="Less: Net_x000a_ Payments and _x000a_Offsets 2" totalsRowFunction="sum" dataDxfId="1967" totalsRowDxfId="1966"/>
    <tableColumn id="7" name="Comment" totalsRowLabel="N/A" dataDxfId="1965" totalsRowDxfId="1964" dataCellStyle="Currency"/>
    <tableColumn id="8" name="Accounts Payable_x000a_Balance" totalsRowFunction="sum" dataDxfId="1963" totalsRowDxfId="1962"/>
    <tableColumn id="9" name="Established_x000a_Accounts Receivable" totalsRowFunction="sum" dataDxfId="1961" totalsRowDxfId="1960"/>
    <tableColumn id="10" name="Less: _x000a_Recovered _x000a_Amount" totalsRowFunction="sum" dataDxfId="1959" totalsRowDxfId="1958"/>
    <tableColumn id="11" name="Accounts Receivable_x000a_Balance" totalsRowFunction="sum" dataDxfId="1957" totalsRowDxfId="1956"/>
    <tableColumn id="12" name="Net_x000a_Balance" totalsRowFunction="sum" dataDxfId="1955" totalsRowDxfId="19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1.xml><?xml version="1.0" encoding="utf-8"?>
<table xmlns="http://schemas.openxmlformats.org/spreadsheetml/2006/main" id="13" name="school200910" displayName="school200910" ref="A462:L507" totalsRowCount="1" headerRowDxfId="1953" dataDxfId="1951" totalsRowDxfId="1949" headerRowBorderDxfId="1952" tableBorderDxfId="1950">
  <autoFilter ref="A462:L506"/>
  <tableColumns count="12">
    <tableColumn id="1" name="Fiscal_x000a_Year" totalsRowLabel="2009-10 Total" dataDxfId="1948" totalsRowDxfId="1947"/>
    <tableColumn id="2" name="Program_x000a_Name" totalsRowLabel="N/A" dataDxfId="1946" totalsRowDxfId="1945"/>
    <tableColumn id="3" name="Legal_x000a_Reference_x000a_(Ch./Year)" totalsRowLabel="N/A" dataDxfId="1944" totalsRowDxfId="1943"/>
    <tableColumn id="4" name="Program_x000a_Number" totalsRowLabel="N/A" dataDxfId="1942" totalsRowDxfId="1941"/>
    <tableColumn id="5" name="Program_x000a_Costs" totalsRowFunction="sum" dataDxfId="1940" totalsRowDxfId="1939"/>
    <tableColumn id="6" name="Less: Net_x000a_ Payments and _x000a_Offsets 2" totalsRowFunction="sum" dataDxfId="1938" totalsRowDxfId="1937"/>
    <tableColumn id="7" name="Comment" totalsRowLabel="N/A" dataDxfId="1936" totalsRowDxfId="1935" dataCellStyle="Currency"/>
    <tableColumn id="8" name="Accounts Payable_x000a_Balance" totalsRowFunction="sum" dataDxfId="1934" totalsRowDxfId="1933"/>
    <tableColumn id="9" name="Established_x000a_Accounts Receivable" totalsRowFunction="sum" dataDxfId="1932" totalsRowDxfId="1931"/>
    <tableColumn id="10" name="Less: _x000a_Recovered _x000a_Amount" totalsRowFunction="sum" dataDxfId="1930" totalsRowDxfId="1929"/>
    <tableColumn id="11" name="Accounts Receivable_x000a_Balance" totalsRowFunction="sum" dataDxfId="1928" totalsRowDxfId="1927"/>
    <tableColumn id="12" name="Net_x000a_Balance" totalsRowFunction="sum" dataDxfId="1926" totalsRowDxfId="19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2.xml><?xml version="1.0" encoding="utf-8"?>
<table xmlns="http://schemas.openxmlformats.org/spreadsheetml/2006/main" id="14" name="school200809" displayName="school200809" ref="A509:L557" totalsRowCount="1" headerRowDxfId="1924" dataDxfId="1922" totalsRowDxfId="1920" headerRowBorderDxfId="1923" tableBorderDxfId="1921">
  <autoFilter ref="A509:L556"/>
  <tableColumns count="12">
    <tableColumn id="1" name="Fiscal_x000a_Year" totalsRowLabel="2008-09 Total" dataDxfId="1919" totalsRowDxfId="1918"/>
    <tableColumn id="2" name="Program_x000a_Name" totalsRowLabel="N/A" dataDxfId="1917" totalsRowDxfId="1916"/>
    <tableColumn id="3" name="Legal_x000a_Reference_x000a_(Ch./Year)" totalsRowLabel="N/A" dataDxfId="1915" totalsRowDxfId="1914"/>
    <tableColumn id="4" name="Program_x000a_Number" totalsRowLabel="N/A" dataDxfId="1913" totalsRowDxfId="1912"/>
    <tableColumn id="5" name="Program_x000a_Costs" totalsRowFunction="sum" dataDxfId="1911" totalsRowDxfId="1910"/>
    <tableColumn id="6" name="Less: Net_x000a_ Payments and _x000a_Offsets 2" totalsRowFunction="sum" dataDxfId="1909" totalsRowDxfId="1908"/>
    <tableColumn id="7" name="Comment" totalsRowLabel="N/A" dataDxfId="1907" totalsRowDxfId="1906" dataCellStyle="Currency"/>
    <tableColumn id="8" name="Accounts Payable_x000a_Balance" totalsRowFunction="sum" dataDxfId="1905" totalsRowDxfId="1904"/>
    <tableColumn id="9" name="Established_x000a_Accounts Receivable" totalsRowFunction="sum" dataDxfId="1903" totalsRowDxfId="1902"/>
    <tableColumn id="10" name="Less: _x000a_Recovered _x000a_Amount" totalsRowFunction="sum" dataDxfId="1901" totalsRowDxfId="1900"/>
    <tableColumn id="11" name="Accounts Receivable_x000a_Balance" totalsRowFunction="sum" dataDxfId="1899" totalsRowDxfId="1898"/>
    <tableColumn id="12" name="Net_x000a_Balance" totalsRowFunction="sum" dataDxfId="1897" totalsRowDxfId="18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3.xml><?xml version="1.0" encoding="utf-8"?>
<table xmlns="http://schemas.openxmlformats.org/spreadsheetml/2006/main" id="15" name="school200708" displayName="school200708" ref="A559:L609" totalsRowCount="1" headerRowDxfId="1895" dataDxfId="1893" totalsRowDxfId="1891" headerRowBorderDxfId="1894" tableBorderDxfId="1892">
  <autoFilter ref="A559:L608"/>
  <tableColumns count="12">
    <tableColumn id="1" name="Fiscal_x000a_Year" totalsRowLabel="2007-08 Total" dataDxfId="1890" totalsRowDxfId="1889"/>
    <tableColumn id="2" name="Program_x000a_Name" totalsRowLabel="N/A" dataDxfId="1888" totalsRowDxfId="1887"/>
    <tableColumn id="3" name="Legal_x000a_Reference_x000a_(Ch./Year)" totalsRowLabel="N/A" dataDxfId="1886" totalsRowDxfId="1885"/>
    <tableColumn id="4" name="Program_x000a_Number" totalsRowLabel="N/A" dataDxfId="1884" totalsRowDxfId="1883"/>
    <tableColumn id="5" name="Program_x000a_Costs" totalsRowFunction="sum" dataDxfId="1882" totalsRowDxfId="1881"/>
    <tableColumn id="6" name="Less: Net_x000a_ Payments and _x000a_Offsets 2" totalsRowFunction="sum" dataDxfId="1880" totalsRowDxfId="1879"/>
    <tableColumn id="7" name="Comment" totalsRowLabel="N/A" dataDxfId="1878" totalsRowDxfId="1877" dataCellStyle="Currency"/>
    <tableColumn id="8" name="Accounts Payable_x000a_Balance" totalsRowFunction="sum" dataDxfId="1876" totalsRowDxfId="1875"/>
    <tableColumn id="9" name="Established_x000a_Accounts Receivable" totalsRowFunction="sum" dataDxfId="1874" totalsRowDxfId="1873"/>
    <tableColumn id="10" name="Less: _x000a_Recovered _x000a_Amount" totalsRowFunction="sum" dataDxfId="1872" totalsRowDxfId="1871"/>
    <tableColumn id="11" name="Accounts Receivable_x000a_Balance" totalsRowFunction="sum" dataDxfId="1870" totalsRowDxfId="1869"/>
    <tableColumn id="12" name="Net_x000a_Balance" totalsRowFunction="sum" dataDxfId="1868" totalsRowDxfId="186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4.xml><?xml version="1.0" encoding="utf-8"?>
<table xmlns="http://schemas.openxmlformats.org/spreadsheetml/2006/main" id="17" name="school200607" displayName="school200607" ref="A611:L662" totalsRowCount="1" headerRowDxfId="1866" dataDxfId="1864" totalsRowDxfId="1862" headerRowBorderDxfId="1865" tableBorderDxfId="1863">
  <autoFilter ref="A611:L661"/>
  <tableColumns count="12">
    <tableColumn id="1" name="Fiscal_x000a_Year" totalsRowLabel="2006-07 Total" dataDxfId="1861" totalsRowDxfId="1860"/>
    <tableColumn id="2" name="Program_x000a_Name" totalsRowLabel="N/A" dataDxfId="1859" totalsRowDxfId="1858"/>
    <tableColumn id="3" name="Legal_x000a_Reference_x000a_(Ch./Year)" totalsRowLabel="N/A" dataDxfId="1857" totalsRowDxfId="1856"/>
    <tableColumn id="4" name="Program_x000a_Number" totalsRowLabel="N/A" dataDxfId="1855" totalsRowDxfId="1854"/>
    <tableColumn id="5" name="Program_x000a_Costs" totalsRowFunction="sum" dataDxfId="1853" totalsRowDxfId="1852"/>
    <tableColumn id="6" name="Less: Net_x000a_ Payments and _x000a_Offsets 2" totalsRowFunction="sum" dataDxfId="1851" totalsRowDxfId="1850"/>
    <tableColumn id="7" name="Comment" totalsRowLabel="N/A" dataDxfId="1849" totalsRowDxfId="1848" dataCellStyle="Currency"/>
    <tableColumn id="8" name="Accounts Payable_x000a_Balance" totalsRowFunction="sum" dataDxfId="1847" totalsRowDxfId="1846"/>
    <tableColumn id="9" name="Established_x000a_Accounts Receivable" totalsRowFunction="sum" dataDxfId="1845" totalsRowDxfId="1844"/>
    <tableColumn id="10" name="Less: _x000a_Recovered _x000a_Amount" totalsRowFunction="sum" dataDxfId="1843" totalsRowDxfId="1842"/>
    <tableColumn id="11" name="Accounts Receivable_x000a_Balance" totalsRowFunction="sum" dataDxfId="1841" totalsRowDxfId="1840"/>
    <tableColumn id="12" name="Net_x000a_Balance" totalsRowFunction="sum" dataDxfId="1839" totalsRowDxfId="183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5.xml><?xml version="1.0" encoding="utf-8"?>
<table xmlns="http://schemas.openxmlformats.org/spreadsheetml/2006/main" id="18" name="school200506" displayName="school200506" ref="A664:L711" totalsRowCount="1" headerRowDxfId="1837" dataDxfId="1835" totalsRowDxfId="1833" headerRowBorderDxfId="1836" tableBorderDxfId="1834">
  <autoFilter ref="A664:L710"/>
  <tableColumns count="12">
    <tableColumn id="1" name="Fiscal_x000a_Year" totalsRowLabel="2005-06 Total" dataDxfId="1832" totalsRowDxfId="1831"/>
    <tableColumn id="2" name="Program_x000a_Name" totalsRowLabel="N/A" dataDxfId="1830" totalsRowDxfId="1829"/>
    <tableColumn id="3" name="Legal_x000a_Reference_x000a_(Ch./Year)" totalsRowLabel="N/A" dataDxfId="1828" totalsRowDxfId="1827"/>
    <tableColumn id="4" name="Program_x000a_Number" totalsRowLabel="N/A" dataDxfId="1826" totalsRowDxfId="1825"/>
    <tableColumn id="5" name="Program_x000a_Costs" totalsRowFunction="sum" dataDxfId="1824" totalsRowDxfId="1823"/>
    <tableColumn id="6" name="Less: Net_x000a_ Payments and _x000a_Offsets 2" totalsRowFunction="sum" dataDxfId="1822" totalsRowDxfId="1821"/>
    <tableColumn id="7" name="Comment" totalsRowLabel="N/A" dataDxfId="1820" totalsRowDxfId="1819" dataCellStyle="Currency"/>
    <tableColumn id="8" name="Accounts Payable_x000a_Balance" totalsRowFunction="sum" dataDxfId="1818" totalsRowDxfId="1817"/>
    <tableColumn id="9" name="Established_x000a_Accounts Receivable" totalsRowFunction="sum" dataDxfId="1816" totalsRowDxfId="1815"/>
    <tableColumn id="10" name="Less: _x000a_Recovered _x000a_Amount" totalsRowFunction="sum" dataDxfId="1814" totalsRowDxfId="1813"/>
    <tableColumn id="11" name="Accounts Receivable_x000a_Balance" totalsRowFunction="sum" dataDxfId="1812" totalsRowDxfId="1811"/>
    <tableColumn id="12" name="Net_x000a_Balance" totalsRowFunction="sum" dataDxfId="1810" totalsRowDxfId="18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6.xml><?xml version="1.0" encoding="utf-8"?>
<table xmlns="http://schemas.openxmlformats.org/spreadsheetml/2006/main" id="19" name="school200405" displayName="school200405" ref="A713:L754" totalsRowCount="1" headerRowDxfId="1808" dataDxfId="1806" totalsRowDxfId="1804" headerRowBorderDxfId="1807" tableBorderDxfId="1805">
  <autoFilter ref="A713:L753"/>
  <tableColumns count="12">
    <tableColumn id="1" name="Fiscal_x000a_Year" totalsRowLabel="2004-05 Total" dataDxfId="1803" totalsRowDxfId="1802"/>
    <tableColumn id="2" name="Program_x000a_Name" totalsRowLabel="N/A" dataDxfId="1801" totalsRowDxfId="1800"/>
    <tableColumn id="3" name="Legal_x000a_Reference_x000a_(Ch./Year)" totalsRowLabel="N/A" dataDxfId="1799" totalsRowDxfId="1798"/>
    <tableColumn id="4" name="Program_x000a_Number" totalsRowLabel="N/A" dataDxfId="1797" totalsRowDxfId="1796"/>
    <tableColumn id="5" name="Program_x000a_Costs" totalsRowFunction="sum" dataDxfId="1795" totalsRowDxfId="1794"/>
    <tableColumn id="6" name="Less: Net_x000a_ Payments and _x000a_Offsets 2" totalsRowFunction="sum" dataDxfId="1793" totalsRowDxfId="1792"/>
    <tableColumn id="7" name="Comment" totalsRowLabel="N/A" dataDxfId="1791" totalsRowDxfId="1790" dataCellStyle="Currency"/>
    <tableColumn id="8" name="Accounts Payable_x000a_Balance" totalsRowFunction="sum" dataDxfId="1789" totalsRowDxfId="1788"/>
    <tableColumn id="9" name="Established_x000a_Accounts Receivable" totalsRowFunction="sum" dataDxfId="1787" totalsRowDxfId="1786"/>
    <tableColumn id="10" name="Less: _x000a_Recovered _x000a_Amount" totalsRowFunction="sum" dataDxfId="1785" totalsRowDxfId="1784"/>
    <tableColumn id="11" name="Accounts Receivable_x000a_Balance" totalsRowFunction="sum" dataDxfId="1783" totalsRowDxfId="1782"/>
    <tableColumn id="12" name="Net_x000a_Balance" totalsRowFunction="sum" dataDxfId="1781" totalsRowDxfId="178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7.xml><?xml version="1.0" encoding="utf-8"?>
<table xmlns="http://schemas.openxmlformats.org/spreadsheetml/2006/main" id="20" name="school200304" displayName="school200304" ref="A756:L773" totalsRowCount="1" headerRowDxfId="1779" dataDxfId="1777" totalsRowDxfId="1775" headerRowBorderDxfId="1778" tableBorderDxfId="1776">
  <autoFilter ref="A756:L772"/>
  <tableColumns count="12">
    <tableColumn id="1" name="Fiscal_x000a_Year" totalsRowLabel="2003-04 Total" dataDxfId="1774" totalsRowDxfId="1773"/>
    <tableColumn id="2" name="Program_x000a_Name" totalsRowLabel="N/A" dataDxfId="1772" totalsRowDxfId="1771"/>
    <tableColumn id="3" name="Legal_x000a_Reference_x000a_(Ch./Year)" totalsRowLabel="N/A" dataDxfId="1770" totalsRowDxfId="1769"/>
    <tableColumn id="4" name="Program_x000a_Number" totalsRowLabel="N/A" dataDxfId="1768" totalsRowDxfId="1767"/>
    <tableColumn id="5" name="Program_x000a_Costs" totalsRowFunction="sum" dataDxfId="1766" totalsRowDxfId="1765"/>
    <tableColumn id="6" name="Less: Net_x000a_ Payments and _x000a_Offsets 2" totalsRowFunction="sum" dataDxfId="1764" totalsRowDxfId="1763"/>
    <tableColumn id="7" name="Comment" totalsRowLabel="N/A" dataDxfId="1762" totalsRowDxfId="1761" dataCellStyle="Currency"/>
    <tableColumn id="8" name="Accounts Payable_x000a_Balance" totalsRowFunction="sum" dataDxfId="1760" totalsRowDxfId="1759"/>
    <tableColumn id="9" name="Established_x000a_Accounts Receivable" totalsRowFunction="sum" dataDxfId="1758" totalsRowDxfId="1757"/>
    <tableColumn id="10" name="Less: _x000a_Recovered _x000a_Amount" totalsRowFunction="sum" dataDxfId="1756" totalsRowDxfId="1755"/>
    <tableColumn id="11" name="Accounts Receivable_x000a_Balance" totalsRowFunction="sum" dataDxfId="1754" totalsRowDxfId="1753"/>
    <tableColumn id="12" name="Net_x000a_Balance" totalsRowFunction="sum" dataDxfId="1752" totalsRowDxfId="17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8.xml><?xml version="1.0" encoding="utf-8"?>
<table xmlns="http://schemas.openxmlformats.org/spreadsheetml/2006/main" id="21" name="school200203" displayName="school200203" ref="A775:L790" totalsRowCount="1" headerRowDxfId="1750" dataDxfId="1748" totalsRowDxfId="1746" headerRowBorderDxfId="1749" tableBorderDxfId="1747">
  <autoFilter ref="A775:L789"/>
  <tableColumns count="12">
    <tableColumn id="1" name="Fiscal_x000a_Year" totalsRowLabel="2002-03 Total" dataDxfId="1745" totalsRowDxfId="1744"/>
    <tableColumn id="2" name="Program_x000a_Name" totalsRowLabel="N/A" dataDxfId="1743" totalsRowDxfId="1742"/>
    <tableColumn id="3" name="Legal_x000a_Reference_x000a_(Ch./Year)" totalsRowLabel="N/A" dataDxfId="1741" totalsRowDxfId="1740"/>
    <tableColumn id="4" name="Program_x000a_Number" totalsRowLabel="N/A" dataDxfId="1739" totalsRowDxfId="1738"/>
    <tableColumn id="5" name="Program_x000a_Costs" totalsRowFunction="sum" dataDxfId="1737" totalsRowDxfId="1736"/>
    <tableColumn id="6" name="Less: Net_x000a_ Payments and _x000a_Offsets 2" totalsRowFunction="sum" dataDxfId="1735" totalsRowDxfId="1734"/>
    <tableColumn id="7" name="Comment" totalsRowLabel="N/A" dataDxfId="1733" totalsRowDxfId="1732" dataCellStyle="Currency"/>
    <tableColumn id="8" name="Accounts Payable_x000a_Balance" totalsRowFunction="sum" dataDxfId="1731" totalsRowDxfId="1730"/>
    <tableColumn id="9" name="Established_x000a_Accounts Receivable" totalsRowFunction="sum" dataDxfId="1729" totalsRowDxfId="1728"/>
    <tableColumn id="10" name="Less: _x000a_Recovered _x000a_Amount" totalsRowFunction="sum" dataDxfId="1727" totalsRowDxfId="1726"/>
    <tableColumn id="11" name="Accounts Receivable_x000a_Balance" totalsRowFunction="sum" dataDxfId="1725" totalsRowDxfId="1724"/>
    <tableColumn id="12" name="Net_x000a_Balance" totalsRowFunction="sum" dataDxfId="1723" totalsRowDxfId="17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69.xml><?xml version="1.0" encoding="utf-8"?>
<table xmlns="http://schemas.openxmlformats.org/spreadsheetml/2006/main" id="22" name="school200102" displayName="school200102" ref="A792:L824" totalsRowCount="1" headerRowDxfId="1721" dataDxfId="1719" totalsRowDxfId="1717" headerRowBorderDxfId="1720" tableBorderDxfId="1718">
  <autoFilter ref="A792:L823"/>
  <tableColumns count="12">
    <tableColumn id="1" name="Fiscal_x000a_Year" totalsRowLabel="2001-02 Total" dataDxfId="1716" totalsRowDxfId="1715"/>
    <tableColumn id="2" name="Program_x000a_Name" totalsRowLabel="N/A" dataDxfId="1714" totalsRowDxfId="1713"/>
    <tableColumn id="3" name="Legal_x000a_Reference_x000a_(Ch./Year)" totalsRowLabel="N/A" dataDxfId="1712" totalsRowDxfId="1711"/>
    <tableColumn id="4" name="Program_x000a_Number" totalsRowLabel="N/A" dataDxfId="1710" totalsRowDxfId="1709"/>
    <tableColumn id="5" name="Program_x000a_Costs" totalsRowFunction="sum" dataDxfId="1708" totalsRowDxfId="1707"/>
    <tableColumn id="6" name="Less: Net_x000a_ Payments and _x000a_Offsets 2" totalsRowFunction="sum" dataDxfId="1706" totalsRowDxfId="1705"/>
    <tableColumn id="7" name="Comment" totalsRowLabel="N/A" dataDxfId="1704" totalsRowDxfId="1703" dataCellStyle="Currency"/>
    <tableColumn id="8" name="Accounts Payable_x000a_Balance" totalsRowFunction="sum" dataDxfId="1702" totalsRowDxfId="1701"/>
    <tableColumn id="9" name="Established_x000a_Accounts Receivable" totalsRowFunction="sum" dataDxfId="1700" totalsRowDxfId="1699"/>
    <tableColumn id="10" name="Less: _x000a_Recovered _x000a_Amount" totalsRowFunction="sum" dataDxfId="1698" totalsRowDxfId="1697"/>
    <tableColumn id="11" name="Accounts Receivable_x000a_Balance" totalsRowFunction="sum" dataDxfId="1696" totalsRowDxfId="1695"/>
    <tableColumn id="12" name="Net_x000a_Balance" totalsRowFunction="sum" dataDxfId="1694" totalsRowDxfId="169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.xml><?xml version="1.0" encoding="utf-8"?>
<table xmlns="http://schemas.openxmlformats.org/spreadsheetml/2006/main" id="115" name="localannualclaim21" displayName="localannualclaim21" ref="A2:I36" totalsRowCount="1" headerRowDxfId="3443" dataDxfId="3441" totalsRowDxfId="3439" headerRowBorderDxfId="3442" tableBorderDxfId="3440" totalsRowBorderDxfId="3438">
  <autoFilter ref="A2:I35"/>
  <tableColumns count="9">
    <tableColumn id="1" name="Program Category_x000a_and Type of Payment" totalsRowLabel="0001-8885-2022-295-98 Total" dataDxfId="3437" totalsRowDxfId="3436"/>
    <tableColumn id="2" name="Fiscal_x000a_Year" totalsRowLabel="N/A" dataDxfId="3435" totalsRowDxfId="3434"/>
    <tableColumn id="3" name="Appropriation_x000a_Number" totalsRowLabel="N/A" dataDxfId="3433" totalsRowDxfId="3432"/>
    <tableColumn id="4" name="Program_x000a_Name" totalsRowLabel="N/A" dataDxfId="3431" totalsRowDxfId="3430"/>
    <tableColumn id="5" name="Legal_x000a_Reference_x000a_(Ch./Year)" totalsRowLabel="N/A" dataDxfId="3429" totalsRowDxfId="3428"/>
    <tableColumn id="6" name="Program_x000a_Number" totalsRowLabel="N/A" dataDxfId="3427" totalsRowDxfId="3426"/>
    <tableColumn id="7" name="Program_x000a_Payments and Offsets" totalsRowFunction="sum" dataDxfId="3425" totalsRowDxfId="3424" dataCellStyle="Currency"/>
    <tableColumn id="8" name="Interest_x000a_Payments and Offsets" totalsRowFunction="sum" dataDxfId="3423" totalsRowDxfId="3422" dataCellStyle="Currency"/>
    <tableColumn id="9" name="Total_x000a_Payments" totalsRowFunction="sum" dataDxfId="3421" totalsRowDxfId="3420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Local Agencies-Annual Claim."/>
    </ext>
  </extLst>
</table>
</file>

<file path=xl/tables/table70.xml><?xml version="1.0" encoding="utf-8"?>
<table xmlns="http://schemas.openxmlformats.org/spreadsheetml/2006/main" id="23" name="school200001" displayName="school200001" ref="A826:L848" totalsRowCount="1" headerRowDxfId="1692" dataDxfId="1690" totalsRowDxfId="1688" headerRowBorderDxfId="1691" tableBorderDxfId="1689">
  <autoFilter ref="A826:L847"/>
  <tableColumns count="12">
    <tableColumn id="1" name="Fiscal_x000a_Year" totalsRowLabel="2000-01 Total" dataDxfId="1687" totalsRowDxfId="1686"/>
    <tableColumn id="2" name="Program_x000a_Name" totalsRowLabel="N/A" dataDxfId="1685" totalsRowDxfId="1684"/>
    <tableColumn id="3" name="Legal_x000a_Reference_x000a_(Ch./Year)" totalsRowLabel="N/A" dataDxfId="1683" totalsRowDxfId="1682"/>
    <tableColumn id="4" name="Program_x000a_Number" totalsRowLabel="N/A" dataDxfId="1681" totalsRowDxfId="1680"/>
    <tableColumn id="5" name="Program_x000a_Costs" totalsRowFunction="sum" dataDxfId="1679" totalsRowDxfId="1678"/>
    <tableColumn id="6" name="Less: Net_x000a_ Payments and _x000a_Offsets 2" totalsRowFunction="sum" dataDxfId="1677" totalsRowDxfId="1676"/>
    <tableColumn id="7" name="Comment" totalsRowLabel="N/A" dataDxfId="1675" totalsRowDxfId="1674" dataCellStyle="Currency"/>
    <tableColumn id="8" name="Accounts Payable_x000a_Balance" totalsRowFunction="sum" dataDxfId="1673" totalsRowDxfId="1672"/>
    <tableColumn id="9" name="Established_x000a_Accounts Receivable" totalsRowFunction="sum" dataDxfId="1671" totalsRowDxfId="1670"/>
    <tableColumn id="10" name="Less: _x000a_Recovered _x000a_Amount" totalsRowFunction="sum" dataDxfId="1669" totalsRowDxfId="1668"/>
    <tableColumn id="11" name="Accounts Receivable_x000a_Balance" totalsRowFunction="sum" dataDxfId="1667" totalsRowDxfId="1666"/>
    <tableColumn id="12" name="Net_x000a_Balance" totalsRowFunction="sum" dataDxfId="1665" totalsRowDxfId="16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1.xml><?xml version="1.0" encoding="utf-8"?>
<table xmlns="http://schemas.openxmlformats.org/spreadsheetml/2006/main" id="24" name="school199900" displayName="school199900" ref="A850:L862" totalsRowCount="1" headerRowDxfId="1663" dataDxfId="1661" totalsRowDxfId="1659" headerRowBorderDxfId="1662" tableBorderDxfId="1660">
  <autoFilter ref="A850:L861"/>
  <tableColumns count="12">
    <tableColumn id="1" name="Fiscal_x000a_Year" totalsRowLabel="1999-00 Total" dataDxfId="1658" totalsRowDxfId="1657"/>
    <tableColumn id="2" name="Program_x000a_Name" totalsRowLabel="N/A" dataDxfId="1656" totalsRowDxfId="1655"/>
    <tableColumn id="3" name="Legal_x000a_Reference_x000a_(Ch./Year)" totalsRowLabel="N/A" dataDxfId="1654" totalsRowDxfId="1653"/>
    <tableColumn id="4" name="Program_x000a_Number" totalsRowLabel="N/A" dataDxfId="1652" totalsRowDxfId="1651"/>
    <tableColumn id="5" name="Program_x000a_Costs" totalsRowFunction="sum" dataDxfId="1650" totalsRowDxfId="1649"/>
    <tableColumn id="6" name="Less: Net_x000a_ Payments and _x000a_Offsets 2" totalsRowFunction="sum" dataDxfId="1648" totalsRowDxfId="1647"/>
    <tableColumn id="7" name="Comment" totalsRowLabel="N/A" dataDxfId="1646" totalsRowDxfId="1645" dataCellStyle="Currency"/>
    <tableColumn id="8" name="Accounts Payable_x000a_Balance" totalsRowFunction="sum" dataDxfId="1644" totalsRowDxfId="1643"/>
    <tableColumn id="9" name="Established_x000a_Accounts Receivable" totalsRowFunction="sum" dataDxfId="1642" totalsRowDxfId="1641"/>
    <tableColumn id="10" name="Less: _x000a_Recovered _x000a_Amount" totalsRowFunction="sum" dataDxfId="1640" totalsRowDxfId="1639"/>
    <tableColumn id="11" name="Accounts Receivable_x000a_Balance" totalsRowFunction="sum" dataDxfId="1638" totalsRowDxfId="1637"/>
    <tableColumn id="12" name="Net_x000a_Balance" totalsRowFunction="sum" dataDxfId="1636" totalsRowDxfId="16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2.xml><?xml version="1.0" encoding="utf-8"?>
<table xmlns="http://schemas.openxmlformats.org/spreadsheetml/2006/main" id="25" name="school199899" displayName="school199899" ref="A864:L871" totalsRowCount="1" headerRowDxfId="1634" dataDxfId="1632" totalsRowDxfId="1630" headerRowBorderDxfId="1633" tableBorderDxfId="1631">
  <autoFilter ref="A864:L870"/>
  <tableColumns count="12">
    <tableColumn id="1" name="Fiscal_x000a_Year" totalsRowLabel="1998-99 Total" dataDxfId="1629" totalsRowDxfId="1628"/>
    <tableColumn id="2" name="Program_x000a_Name" totalsRowLabel="N/A" dataDxfId="1627" totalsRowDxfId="1626"/>
    <tableColumn id="3" name="Legal_x000a_Reference_x000a_(Ch./Year)" totalsRowLabel="N/A" dataDxfId="1625" totalsRowDxfId="1624"/>
    <tableColumn id="4" name="Program_x000a_Number" totalsRowLabel="N/A" dataDxfId="1623" totalsRowDxfId="1622"/>
    <tableColumn id="5" name="Program_x000a_Costs" totalsRowFunction="sum" dataDxfId="1621" totalsRowDxfId="1620"/>
    <tableColumn id="6" name="Less: Net_x000a_ Payments and _x000a_Offsets 2" totalsRowFunction="sum" dataDxfId="1619" totalsRowDxfId="1618"/>
    <tableColumn id="7" name="Comment" totalsRowLabel="N/A" dataDxfId="1617" totalsRowDxfId="1616" dataCellStyle="Currency"/>
    <tableColumn id="8" name="Accounts Payable_x000a_Balance" totalsRowFunction="sum" dataDxfId="1615" totalsRowDxfId="1614"/>
    <tableColumn id="9" name="Established_x000a_Accounts Receivable" totalsRowFunction="sum" dataDxfId="1613" totalsRowDxfId="1612"/>
    <tableColumn id="10" name="Less: _x000a_Recovered _x000a_Amount" totalsRowFunction="sum" dataDxfId="1611" totalsRowDxfId="1610"/>
    <tableColumn id="11" name="Accounts Receivable_x000a_Balance" totalsRowFunction="sum" dataDxfId="1609" totalsRowDxfId="1608"/>
    <tableColumn id="12" name="Net_x000a_Balance" totalsRowFunction="sum" dataDxfId="1607" totalsRowDxfId="16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3.xml><?xml version="1.0" encoding="utf-8"?>
<table xmlns="http://schemas.openxmlformats.org/spreadsheetml/2006/main" id="26" name="school199798" displayName="school199798" ref="A873:L880" totalsRowCount="1" headerRowDxfId="1605" dataDxfId="1603" totalsRowDxfId="1601" headerRowBorderDxfId="1604" tableBorderDxfId="1602">
  <autoFilter ref="A873:L879"/>
  <tableColumns count="12">
    <tableColumn id="1" name="Fiscal_x000a_Year" totalsRowLabel="1997-98 Total" dataDxfId="1600" totalsRowDxfId="1599"/>
    <tableColumn id="2" name="Program_x000a_Name" totalsRowLabel="N/A" dataDxfId="1598" totalsRowDxfId="1597"/>
    <tableColumn id="3" name="Legal_x000a_Reference_x000a_(Ch./Year)" totalsRowLabel="N/A" dataDxfId="1596" totalsRowDxfId="1595"/>
    <tableColumn id="4" name="Program_x000a_Number" totalsRowLabel="N/A" dataDxfId="1594" totalsRowDxfId="1593"/>
    <tableColumn id="5" name="Program_x000a_Costs" totalsRowFunction="sum" dataDxfId="1592" totalsRowDxfId="1591"/>
    <tableColumn id="6" name="Less: Net_x000a_ Payments and _x000a_Offsets 2" totalsRowFunction="sum" dataDxfId="1590" totalsRowDxfId="1589"/>
    <tableColumn id="7" name="Comment" totalsRowLabel="N/A" dataDxfId="1588" totalsRowDxfId="1587" dataCellStyle="Currency"/>
    <tableColumn id="8" name="Accounts Payable_x000a_Balance" totalsRowFunction="sum" dataDxfId="1586" totalsRowDxfId="1585"/>
    <tableColumn id="9" name="Established_x000a_Accounts Receivable" totalsRowFunction="sum" dataDxfId="1584" totalsRowDxfId="1583"/>
    <tableColumn id="10" name="Less: _x000a_Recovered _x000a_Amount" totalsRowFunction="sum" dataDxfId="1582" totalsRowDxfId="1581"/>
    <tableColumn id="11" name="Accounts Receivable_x000a_Balance" totalsRowFunction="sum" dataDxfId="1580" totalsRowDxfId="1579"/>
    <tableColumn id="12" name="Net_x000a_Balance" totalsRowFunction="sum" dataDxfId="1578" totalsRowDxfId="15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4.xml><?xml version="1.0" encoding="utf-8"?>
<table xmlns="http://schemas.openxmlformats.org/spreadsheetml/2006/main" id="27" name="school199697" displayName="school199697" ref="A882:L888" totalsRowCount="1" headerRowDxfId="1576" dataDxfId="1574" totalsRowDxfId="1572" headerRowBorderDxfId="1575" tableBorderDxfId="1573">
  <autoFilter ref="A882:L887"/>
  <tableColumns count="12">
    <tableColumn id="1" name="Fiscal_x000a_Year" totalsRowLabel="1996-97 Total" dataDxfId="1571" totalsRowDxfId="1570"/>
    <tableColumn id="2" name="Program_x000a_Name" totalsRowLabel="N/A" dataDxfId="1569" totalsRowDxfId="1568"/>
    <tableColumn id="3" name="Legal_x000a_Reference_x000a_(Ch./Year)" totalsRowLabel="N/A" dataDxfId="1567" totalsRowDxfId="1566"/>
    <tableColumn id="4" name="Program_x000a_Number" totalsRowLabel="N/A" dataDxfId="1565" totalsRowDxfId="1564"/>
    <tableColumn id="5" name="Program_x000a_Costs" totalsRowFunction="sum" dataDxfId="1563" totalsRowDxfId="1562"/>
    <tableColumn id="6" name="Less: Net_x000a_ Payments and _x000a_Offsets 2" totalsRowFunction="sum" dataDxfId="1561" totalsRowDxfId="1560"/>
    <tableColumn id="7" name="Comment" totalsRowLabel="N/A" dataDxfId="1559" totalsRowDxfId="1558" dataCellStyle="Currency"/>
    <tableColumn id="8" name="Accounts Payable_x000a_Balance" totalsRowFunction="sum" dataDxfId="1557" totalsRowDxfId="1556"/>
    <tableColumn id="9" name="Established_x000a_Accounts Receivable" totalsRowFunction="sum" dataDxfId="1555" totalsRowDxfId="1554"/>
    <tableColumn id="10" name="Less: _x000a_Recovered _x000a_Amount" totalsRowFunction="sum" dataDxfId="1553" totalsRowDxfId="1552"/>
    <tableColumn id="11" name="Accounts Receivable_x000a_Balance" totalsRowFunction="sum" dataDxfId="1551" totalsRowDxfId="1550"/>
    <tableColumn id="12" name="Net_x000a_Balance" totalsRowFunction="sum" dataDxfId="1549" totalsRowDxfId="15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5.xml><?xml version="1.0" encoding="utf-8"?>
<table xmlns="http://schemas.openxmlformats.org/spreadsheetml/2006/main" id="28" name="school199596" displayName="school199596" ref="A890:L899" totalsRowCount="1" headerRowDxfId="1547" dataDxfId="1545" totalsRowDxfId="1543" headerRowBorderDxfId="1546" tableBorderDxfId="1544">
  <autoFilter ref="A890:L898"/>
  <tableColumns count="12">
    <tableColumn id="1" name="Fiscal_x000a_Year" totalsRowLabel="1995-96 Total" dataDxfId="1542" totalsRowDxfId="1541"/>
    <tableColumn id="2" name="Program_x000a_Name" totalsRowLabel="N/A" dataDxfId="1540" totalsRowDxfId="1539"/>
    <tableColumn id="3" name="Legal_x000a_Reference_x000a_(Ch./Year)" totalsRowLabel="N/A" dataDxfId="1538" totalsRowDxfId="1537"/>
    <tableColumn id="4" name="Program_x000a_Number" totalsRowLabel="N/A" dataDxfId="1536" totalsRowDxfId="1535"/>
    <tableColumn id="5" name="Program_x000a_Costs" totalsRowFunction="sum" dataDxfId="1534" totalsRowDxfId="1533"/>
    <tableColumn id="6" name="Less: Net_x000a_ Payments and _x000a_Offsets 2" totalsRowFunction="sum" dataDxfId="1532" totalsRowDxfId="1531"/>
    <tableColumn id="7" name="Comment" totalsRowLabel="N/A" dataDxfId="1530" totalsRowDxfId="1529" dataCellStyle="Currency"/>
    <tableColumn id="8" name="Accounts Payable_x000a_Balance" totalsRowFunction="sum" dataDxfId="1528" totalsRowDxfId="1527"/>
    <tableColumn id="9" name="Established_x000a_Accounts Receivable" totalsRowFunction="sum" dataDxfId="1526" totalsRowDxfId="1525"/>
    <tableColumn id="10" name="Less: _x000a_Recovered _x000a_Amount" totalsRowFunction="sum" dataDxfId="1524" totalsRowDxfId="1523"/>
    <tableColumn id="11" name="Accounts Receivable_x000a_Balance" totalsRowFunction="sum" dataDxfId="1522" totalsRowDxfId="1521"/>
    <tableColumn id="12" name="Net_x000a_Balance" totalsRowFunction="sum" dataDxfId="1520" totalsRowDxfId="151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6.xml><?xml version="1.0" encoding="utf-8"?>
<table xmlns="http://schemas.openxmlformats.org/spreadsheetml/2006/main" id="29" name="school199495" displayName="school199495" ref="A901:L906" totalsRowCount="1" headerRowDxfId="1518" dataDxfId="1516" totalsRowDxfId="1514" headerRowBorderDxfId="1517" tableBorderDxfId="1515">
  <autoFilter ref="A901:L905"/>
  <tableColumns count="12">
    <tableColumn id="1" name="Fiscal_x000a_Year" totalsRowLabel="1994-95 Total" dataDxfId="1513" totalsRowDxfId="1512"/>
    <tableColumn id="2" name="Program_x000a_Name" totalsRowLabel="N/A" dataDxfId="1511" totalsRowDxfId="1510"/>
    <tableColumn id="3" name="Legal_x000a_Reference_x000a_(Ch./Year)" totalsRowLabel="N/A" dataDxfId="1509" totalsRowDxfId="1508"/>
    <tableColumn id="4" name="Program_x000a_Number" totalsRowLabel="N/A" dataDxfId="1507" totalsRowDxfId="1506"/>
    <tableColumn id="5" name="Program_x000a_Costs" totalsRowFunction="sum" dataDxfId="1505" totalsRowDxfId="1504"/>
    <tableColumn id="6" name="Less: Net_x000a_ Payments and _x000a_Offsets 2" totalsRowFunction="sum" dataDxfId="1503" totalsRowDxfId="1502"/>
    <tableColumn id="7" name="Comment" totalsRowLabel="N/A" dataDxfId="1501" totalsRowDxfId="1500" dataCellStyle="Currency"/>
    <tableColumn id="8" name="Accounts Payable_x000a_Balance" totalsRowFunction="sum" dataDxfId="1499" totalsRowDxfId="1498"/>
    <tableColumn id="9" name="Established_x000a_Accounts Receivable" totalsRowFunction="sum" dataDxfId="1497" totalsRowDxfId="1496"/>
    <tableColumn id="10" name="Less: _x000a_Recovered _x000a_Amount" totalsRowFunction="sum" dataDxfId="1495" totalsRowDxfId="1494"/>
    <tableColumn id="11" name="Accounts Receivable_x000a_Balance" totalsRowFunction="sum" dataDxfId="1493" totalsRowDxfId="1492"/>
    <tableColumn id="12" name="Net_x000a_Balance" totalsRowFunction="sum" dataDxfId="1491" totalsRowDxfId="14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7.xml><?xml version="1.0" encoding="utf-8"?>
<table xmlns="http://schemas.openxmlformats.org/spreadsheetml/2006/main" id="60" name="school199394" displayName="school199394" ref="A908:L913" totalsRowCount="1" headerRowDxfId="1489" dataDxfId="1487" totalsRowDxfId="1485" headerRowBorderDxfId="1488" tableBorderDxfId="1486">
  <autoFilter ref="A908:L912"/>
  <tableColumns count="12">
    <tableColumn id="1" name="Fiscal_x000a_Year" totalsRowLabel="1993-94 Total" dataDxfId="1484" totalsRowDxfId="1483"/>
    <tableColumn id="2" name="Program_x000a_Name" totalsRowLabel="N/A" dataDxfId="1482" totalsRowDxfId="1481"/>
    <tableColumn id="3" name="Legal_x000a_Reference_x000a_(Ch./Year)" totalsRowLabel="N/A" dataDxfId="1480" totalsRowDxfId="1479"/>
    <tableColumn id="4" name="Program_x000a_Number" totalsRowLabel="N/A" dataDxfId="1478" totalsRowDxfId="1477"/>
    <tableColumn id="5" name="Program_x000a_Costs" totalsRowFunction="sum" dataDxfId="1476" totalsRowDxfId="1475"/>
    <tableColumn id="6" name="Less: Net_x000a_ Payments and _x000a_Offsets 2" totalsRowFunction="sum" dataDxfId="1474" totalsRowDxfId="1473"/>
    <tableColumn id="7" name="Comment" totalsRowLabel="N/A" dataDxfId="1472" totalsRowDxfId="1471" dataCellStyle="Currency"/>
    <tableColumn id="8" name="Accounts Payable_x000a_Balance" totalsRowFunction="sum" dataDxfId="1470" totalsRowDxfId="1469"/>
    <tableColumn id="9" name="Established_x000a_Accounts Receivable" totalsRowFunction="sum" dataDxfId="1468" totalsRowDxfId="1467"/>
    <tableColumn id="10" name="Less: _x000a_Recovered _x000a_Amount" totalsRowFunction="sum" dataDxfId="1466" totalsRowDxfId="1465"/>
    <tableColumn id="11" name="Accounts Receivable_x000a_Balance" totalsRowFunction="sum" dataDxfId="1464" totalsRowDxfId="1463"/>
    <tableColumn id="12" name="Net_x000a_Balance" totalsRowFunction="sum" dataDxfId="1462" totalsRowDxfId="14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8.xml><?xml version="1.0" encoding="utf-8"?>
<table xmlns="http://schemas.openxmlformats.org/spreadsheetml/2006/main" id="61" name="school199293" displayName="school199293" ref="A915:L919" totalsRowCount="1" headerRowDxfId="1460" dataDxfId="1458" totalsRowDxfId="1456" headerRowBorderDxfId="1459" tableBorderDxfId="1457">
  <autoFilter ref="A915:L918"/>
  <tableColumns count="12">
    <tableColumn id="1" name="Fiscal_x000a_Year" totalsRowLabel="1992-93 Total" dataDxfId="1455" totalsRowDxfId="1454"/>
    <tableColumn id="2" name="Program_x000a_Name" totalsRowLabel="N/A" dataDxfId="1453" totalsRowDxfId="1452"/>
    <tableColumn id="3" name="Legal_x000a_Reference_x000a_(Ch./Year)" totalsRowLabel="N/A" dataDxfId="1451" totalsRowDxfId="1450"/>
    <tableColumn id="4" name="Program_x000a_Number" totalsRowLabel="N/A" dataDxfId="1449" totalsRowDxfId="1448"/>
    <tableColumn id="5" name="Program_x000a_Costs" totalsRowFunction="sum" dataDxfId="1447" totalsRowDxfId="1446"/>
    <tableColumn id="6" name="Less: Net_x000a_ Payments and _x000a_Offsets 2" totalsRowFunction="sum" dataDxfId="1445" totalsRowDxfId="1444"/>
    <tableColumn id="7" name="Comment" totalsRowLabel="N/A" dataDxfId="1443" totalsRowDxfId="1442" dataCellStyle="Currency"/>
    <tableColumn id="8" name="Accounts Payable_x000a_Balance" totalsRowFunction="sum" dataDxfId="1441" totalsRowDxfId="1440"/>
    <tableColumn id="9" name="Established_x000a_Accounts Receivable" totalsRowFunction="sum" dataDxfId="1439" totalsRowDxfId="1438"/>
    <tableColumn id="10" name="Less: _x000a_Recovered _x000a_Amount" totalsRowFunction="sum" dataDxfId="1437" totalsRowDxfId="1436"/>
    <tableColumn id="11" name="Accounts Receivable_x000a_Balance" totalsRowFunction="sum" dataDxfId="1435" totalsRowDxfId="1434"/>
    <tableColumn id="12" name="Net_x000a_Balance" totalsRowFunction="sum" dataDxfId="1433" totalsRowDxfId="14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79.xml><?xml version="1.0" encoding="utf-8"?>
<table xmlns="http://schemas.openxmlformats.org/spreadsheetml/2006/main" id="62" name="school199192" displayName="school199192" ref="A921:L924" totalsRowCount="1" headerRowDxfId="1431" dataDxfId="1429" totalsRowDxfId="1427" headerRowBorderDxfId="1430" tableBorderDxfId="1428">
  <autoFilter ref="A921:L923"/>
  <tableColumns count="12">
    <tableColumn id="1" name="Fiscal_x000a_Year" totalsRowLabel="1991-92 Total" dataDxfId="1426" totalsRowDxfId="1425"/>
    <tableColumn id="2" name="Program_x000a_Name" totalsRowLabel="N/A" dataDxfId="1424" totalsRowDxfId="1423"/>
    <tableColumn id="3" name="Legal_x000a_Reference_x000a_(Ch./Year)" totalsRowLabel="N/A" dataDxfId="1422" totalsRowDxfId="1421"/>
    <tableColumn id="4" name="Program_x000a_Number" totalsRowLabel="N/A" dataDxfId="1420" totalsRowDxfId="1419"/>
    <tableColumn id="5" name="Program_x000a_Costs" totalsRowFunction="sum" dataDxfId="1418" totalsRowDxfId="1417"/>
    <tableColumn id="6" name="Less: Net_x000a_ Payments and _x000a_Offsets 2" totalsRowFunction="sum" dataDxfId="1416" totalsRowDxfId="1415"/>
    <tableColumn id="7" name="Comment" totalsRowLabel="N/A" dataDxfId="1414" totalsRowDxfId="1413" dataCellStyle="Currency"/>
    <tableColumn id="8" name="Accounts Payable_x000a_Balance" totalsRowFunction="sum" dataDxfId="1412" totalsRowDxfId="1411"/>
    <tableColumn id="9" name="Established_x000a_Accounts Receivable" totalsRowFunction="sum" dataDxfId="1410" totalsRowDxfId="1409"/>
    <tableColumn id="10" name="Less: _x000a_Recovered _x000a_Amount" totalsRowFunction="sum" dataDxfId="1408" totalsRowDxfId="1407"/>
    <tableColumn id="11" name="Accounts Receivable_x000a_Balance" totalsRowFunction="sum" dataDxfId="1406" totalsRowDxfId="1405"/>
    <tableColumn id="12" name="Net_x000a_Balance" totalsRowFunction="sum" dataDxfId="1404" totalsRowDxfId="14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.xml><?xml version="1.0" encoding="utf-8"?>
<table xmlns="http://schemas.openxmlformats.org/spreadsheetml/2006/main" id="117" name="localmotor21" displayName="localmotor21" ref="A38:I40" totalsRowCount="1" headerRowDxfId="3419" dataDxfId="3417" totalsRowDxfId="3416" headerRowBorderDxfId="3418" totalsRowBorderDxfId="3415" dataCellStyle="Currency">
  <autoFilter ref="A38:I39"/>
  <tableColumns count="9">
    <tableColumn id="1" name="Program Category_x000a_and Type of Payment" totalsRowLabel="0044-8885-2021-295-98 Total" dataDxfId="3414" totalsRowDxfId="3413"/>
    <tableColumn id="2" name="Fiscal _x000a_Year" totalsRowLabel="N/A" dataDxfId="3412" totalsRowDxfId="3411"/>
    <tableColumn id="3" name="Appropriation _x000a_Number" totalsRowLabel="N/A" dataDxfId="3410" totalsRowDxfId="3409"/>
    <tableColumn id="4" name="Program _x000a_Name" totalsRowLabel="N/A" dataDxfId="3408" totalsRowDxfId="3407"/>
    <tableColumn id="5" name="Legal _x000a_Reference_x000a_(Ch./Year)" totalsRowLabel="N/A" dataDxfId="3406" totalsRowDxfId="3405"/>
    <tableColumn id="6" name="Program_x000a_Number" totalsRowLabel="N/A" dataDxfId="3404" totalsRowDxfId="3403"/>
    <tableColumn id="7" name="Program _x000a_Payments and Offsets" totalsRowFunction="sum" dataDxfId="3402" totalsRowDxfId="3401" dataCellStyle="Currency"/>
    <tableColumn id="8" name="Interest_x000a_Payments and Offsets" totalsRowFunction="sum" dataDxfId="3400" totalsRowDxfId="3399" dataCellStyle="Currency"/>
    <tableColumn id="9" name="Total _x000a_Payments" totalsRowFunction="sum" dataDxfId="3398" totalsRowDxfId="3397" dataCellStyle="Currency">
      <calculatedColumnFormula>SUM(G39:H39)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Local Agencies-Motor Vehicle."/>
    </ext>
  </extLst>
</table>
</file>

<file path=xl/tables/table80.xml><?xml version="1.0" encoding="utf-8"?>
<table xmlns="http://schemas.openxmlformats.org/spreadsheetml/2006/main" id="63" name="school199091" displayName="school199091" ref="A926:L929" totalsRowCount="1" headerRowDxfId="1402" dataDxfId="1400" totalsRowDxfId="1398" headerRowBorderDxfId="1401" tableBorderDxfId="1399">
  <autoFilter ref="A926:L928"/>
  <tableColumns count="12">
    <tableColumn id="1" name="Fiscal_x000a_Year" totalsRowLabel="1990-91 Total" dataDxfId="1397" totalsRowDxfId="1396"/>
    <tableColumn id="2" name="Program_x000a_Name" totalsRowLabel="N/A" dataDxfId="1395" totalsRowDxfId="1394"/>
    <tableColumn id="3" name="Legal_x000a_Reference_x000a_(Ch./Year)" totalsRowLabel="N/A" dataDxfId="1393" totalsRowDxfId="1392"/>
    <tableColumn id="4" name="Program_x000a_Number" totalsRowLabel="N/A" dataDxfId="1391" totalsRowDxfId="1390"/>
    <tableColumn id="5" name="Program_x000a_Costs" totalsRowFunction="sum" dataDxfId="1389" totalsRowDxfId="1388"/>
    <tableColumn id="6" name="Less: Net_x000a_ Payments and _x000a_Offsets 2" totalsRowFunction="sum" dataDxfId="1387" totalsRowDxfId="1386"/>
    <tableColumn id="7" name="Comment" totalsRowLabel="N/A" dataDxfId="1385" totalsRowDxfId="1384" dataCellStyle="Currency"/>
    <tableColumn id="8" name="Accounts Payable_x000a_Balance" totalsRowFunction="sum" dataDxfId="1383" totalsRowDxfId="1382"/>
    <tableColumn id="9" name="Established_x000a_Accounts Receivable" totalsRowFunction="sum" dataDxfId="1381" totalsRowDxfId="1380"/>
    <tableColumn id="10" name="Less: _x000a_Recovered _x000a_Amount" totalsRowFunction="sum" dataDxfId="1379" totalsRowDxfId="1378"/>
    <tableColumn id="11" name="Accounts Receivable_x000a_Balance" totalsRowFunction="sum" dataDxfId="1377" totalsRowDxfId="1376"/>
    <tableColumn id="12" name="Net_x000a_Balance" totalsRowFunction="sum" dataDxfId="1375" totalsRowDxfId="13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1.xml><?xml version="1.0" encoding="utf-8"?>
<table xmlns="http://schemas.openxmlformats.org/spreadsheetml/2006/main" id="64" name="school198990" displayName="school198990" ref="A931:L934" totalsRowCount="1" headerRowDxfId="1373" dataDxfId="1371" totalsRowDxfId="1369" headerRowBorderDxfId="1372" tableBorderDxfId="1370">
  <autoFilter ref="A931:L933"/>
  <tableColumns count="12">
    <tableColumn id="1" name="Fiscal_x000a_Year" totalsRowLabel="1989-90 Total" dataDxfId="1368" totalsRowDxfId="1367"/>
    <tableColumn id="2" name="Program_x000a_Name" totalsRowLabel="N/A" dataDxfId="1366" totalsRowDxfId="1365"/>
    <tableColumn id="3" name="Legal_x000a_Reference_x000a_(Ch./Year)" totalsRowLabel="N/A" dataDxfId="1364" totalsRowDxfId="1363"/>
    <tableColumn id="4" name="Program_x000a_Number" totalsRowLabel="N/A" dataDxfId="1362" totalsRowDxfId="1361"/>
    <tableColumn id="5" name="Program_x000a_Costs" totalsRowFunction="sum" dataDxfId="1360" totalsRowDxfId="1359"/>
    <tableColumn id="6" name="Less: Net_x000a_ Payments and _x000a_Offsets 2" totalsRowFunction="sum" dataDxfId="1358" totalsRowDxfId="1357"/>
    <tableColumn id="7" name="Comment" totalsRowLabel="N/A" dataDxfId="1356" totalsRowDxfId="1355" dataCellStyle="Currency"/>
    <tableColumn id="8" name="Accounts Payable_x000a_Balance" totalsRowFunction="sum" dataDxfId="1354" totalsRowDxfId="1353"/>
    <tableColumn id="9" name="Established_x000a_Accounts Receivable" totalsRowFunction="sum" dataDxfId="1352" totalsRowDxfId="1351"/>
    <tableColumn id="10" name="Less: _x000a_Recovered _x000a_Amount" totalsRowFunction="sum" dataDxfId="1350" totalsRowDxfId="1349"/>
    <tableColumn id="11" name="Accounts Receivable_x000a_Balance" totalsRowFunction="sum" dataDxfId="1348" totalsRowDxfId="1347"/>
    <tableColumn id="12" name="Net_x000a_Balance" totalsRowFunction="sum" dataDxfId="1346" totalsRowDxfId="13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2.xml><?xml version="1.0" encoding="utf-8"?>
<table xmlns="http://schemas.openxmlformats.org/spreadsheetml/2006/main" id="65" name="school198889" displayName="school198889" ref="A936:L938" totalsRowCount="1" headerRowDxfId="1344" dataDxfId="1342" totalsRowDxfId="1340" headerRowBorderDxfId="1343" tableBorderDxfId="1341">
  <autoFilter ref="A936:L937"/>
  <tableColumns count="12">
    <tableColumn id="1" name="Fiscal_x000a_Year" totalsRowLabel="1988-89 Total" dataDxfId="1339" totalsRowDxfId="1338"/>
    <tableColumn id="2" name="Program_x000a_Name" totalsRowLabel="N/A" dataDxfId="1337" totalsRowDxfId="1336"/>
    <tableColumn id="3" name="Legal_x000a_Reference_x000a_(Ch./Year)" totalsRowLabel="N/A" dataDxfId="1335" totalsRowDxfId="1334"/>
    <tableColumn id="4" name="Program_x000a_Number" totalsRowLabel="N/A" dataDxfId="1333" totalsRowDxfId="1332"/>
    <tableColumn id="5" name="Program_x000a_Costs" totalsRowFunction="sum" dataDxfId="1331" totalsRowDxfId="1330"/>
    <tableColumn id="6" name="Less: Net_x000a_ Payments and _x000a_Offsets 2" totalsRowFunction="sum" dataDxfId="1329" totalsRowDxfId="1328"/>
    <tableColumn id="7" name="Comment" totalsRowLabel="N/A" dataDxfId="1327" totalsRowDxfId="1326" dataCellStyle="Currency"/>
    <tableColumn id="8" name="Accounts Payable_x000a_Balance" totalsRowFunction="sum" dataDxfId="1325" totalsRowDxfId="1324"/>
    <tableColumn id="9" name="Established_x000a_Accounts Receivable" totalsRowFunction="sum" dataDxfId="1323" totalsRowDxfId="1322"/>
    <tableColumn id="10" name="Less: _x000a_Recovered _x000a_Amount" totalsRowFunction="sum" dataDxfId="1321" totalsRowDxfId="1320"/>
    <tableColumn id="11" name="Accounts Receivable_x000a_Balance" totalsRowFunction="sum" dataDxfId="1319" totalsRowDxfId="1318"/>
    <tableColumn id="12" name="Net_x000a_Balance" totalsRowFunction="sum" dataDxfId="1317" totalsRowDxfId="13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3.xml><?xml version="1.0" encoding="utf-8"?>
<table xmlns="http://schemas.openxmlformats.org/spreadsheetml/2006/main" id="66" name="school198788" displayName="school198788" ref="A940:L942" totalsRowCount="1" headerRowDxfId="1315" dataDxfId="1313" totalsRowDxfId="1311" headerRowBorderDxfId="1314" tableBorderDxfId="1312">
  <autoFilter ref="A940:L941"/>
  <tableColumns count="12">
    <tableColumn id="1" name="Fiscal_x000a_Year" totalsRowLabel="1987-88 Total" dataDxfId="1310" totalsRowDxfId="1309"/>
    <tableColumn id="2" name="Program_x000a_Name" totalsRowLabel="N/A" dataDxfId="1308" totalsRowDxfId="1307"/>
    <tableColumn id="3" name="Legal_x000a_Reference_x000a_(Ch./Year)" totalsRowLabel="N/A" dataDxfId="1306" totalsRowDxfId="1305"/>
    <tableColumn id="4" name="Program_x000a_Number" totalsRowLabel="N/A" dataDxfId="1304" totalsRowDxfId="1303"/>
    <tableColumn id="5" name="Program_x000a_Costs" totalsRowFunction="sum" dataDxfId="1302" totalsRowDxfId="1301"/>
    <tableColumn id="6" name="Less: Net_x000a_ Payments and _x000a_Offsets 2" totalsRowFunction="sum" dataDxfId="1300" totalsRowDxfId="1299"/>
    <tableColumn id="7" name="Comment" totalsRowLabel="N/A" dataDxfId="1298" totalsRowDxfId="1297" dataCellStyle="Currency"/>
    <tableColumn id="8" name="Accounts Payable_x000a_Balance" totalsRowFunction="sum" dataDxfId="1296" totalsRowDxfId="1295"/>
    <tableColumn id="9" name="Established_x000a_Accounts Receivable" totalsRowFunction="sum" dataDxfId="1294" totalsRowDxfId="1293"/>
    <tableColumn id="10" name="Less: _x000a_Recovered _x000a_Amount" totalsRowFunction="sum" dataDxfId="1292" totalsRowDxfId="1291"/>
    <tableColumn id="11" name="Accounts Receivable_x000a_Balance" totalsRowFunction="sum" dataDxfId="1290" totalsRowDxfId="1289"/>
    <tableColumn id="12" name="Net_x000a_Balance" totalsRowFunction="sum" dataDxfId="1288" totalsRowDxfId="128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4.xml><?xml version="1.0" encoding="utf-8"?>
<table xmlns="http://schemas.openxmlformats.org/spreadsheetml/2006/main" id="67" name="school198687" displayName="school198687" ref="A944:L946" totalsRowCount="1" headerRowDxfId="1286" dataDxfId="1284" totalsRowDxfId="1282" headerRowBorderDxfId="1285" tableBorderDxfId="1283">
  <autoFilter ref="A944:L945"/>
  <tableColumns count="12">
    <tableColumn id="1" name="Fiscal_x000a_Year" totalsRowLabel="1986-87 Total" dataDxfId="1281" totalsRowDxfId="1280"/>
    <tableColumn id="2" name="Program_x000a_Name" totalsRowLabel="N/A" dataDxfId="1279" totalsRowDxfId="1278"/>
    <tableColumn id="3" name="Legal_x000a_Reference_x000a_(Ch./Year)" totalsRowLabel="N/A" dataDxfId="1277" totalsRowDxfId="1276"/>
    <tableColumn id="4" name="Program_x000a_Number" totalsRowLabel="N/A" dataDxfId="1275" totalsRowDxfId="1274"/>
    <tableColumn id="5" name="Program_x000a_Costs" totalsRowFunction="sum" dataDxfId="1273" totalsRowDxfId="1272"/>
    <tableColumn id="6" name="Less: Net_x000a_ Payments and _x000a_Offsets 2" totalsRowFunction="sum" dataDxfId="1271" totalsRowDxfId="1270"/>
    <tableColumn id="7" name="Comment" totalsRowLabel="N/A" dataDxfId="1269" totalsRowDxfId="1268" dataCellStyle="Currency"/>
    <tableColumn id="8" name="Accounts Payable_x000a_Balance" totalsRowFunction="sum" dataDxfId="1267" totalsRowDxfId="1266"/>
    <tableColumn id="9" name="Established_x000a_Accounts Receivable" totalsRowFunction="sum" dataDxfId="1265" totalsRowDxfId="1264"/>
    <tableColumn id="10" name="Less: _x000a_Recovered _x000a_Amount" totalsRowFunction="sum" dataDxfId="1263" totalsRowDxfId="1262"/>
    <tableColumn id="11" name="Accounts Receivable_x000a_Balance" totalsRowFunction="sum" dataDxfId="1261" totalsRowDxfId="1260"/>
    <tableColumn id="12" name="Net_x000a_Balance" totalsRowFunction="sum" dataDxfId="1259" totalsRowDxfId="125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5.xml><?xml version="1.0" encoding="utf-8"?>
<table xmlns="http://schemas.openxmlformats.org/spreadsheetml/2006/main" id="68" name="school198586" displayName="school198586" ref="A948:L950" totalsRowCount="1" headerRowDxfId="1257" dataDxfId="1255" totalsRowDxfId="1253" headerRowBorderDxfId="1256" tableBorderDxfId="1254">
  <autoFilter ref="A948:L949"/>
  <tableColumns count="12">
    <tableColumn id="1" name="Fiscal_x000a_Year" totalsRowLabel="1985-86 Total" dataDxfId="1252" totalsRowDxfId="1251"/>
    <tableColumn id="2" name="Program_x000a_Name" totalsRowLabel="N/A" dataDxfId="1250" totalsRowDxfId="1249"/>
    <tableColumn id="3" name="Legal_x000a_Reference_x000a_(Ch./Year)" totalsRowLabel="N/A" dataDxfId="1248" totalsRowDxfId="1247"/>
    <tableColumn id="4" name="Program_x000a_Number" totalsRowLabel="N/A" dataDxfId="1246" totalsRowDxfId="1245"/>
    <tableColumn id="5" name="Program_x000a_Costs" totalsRowFunction="sum" dataDxfId="1244" totalsRowDxfId="1243"/>
    <tableColumn id="6" name="Less: Net_x000a_ Payments and _x000a_Offsets 2" totalsRowFunction="sum" dataDxfId="1242" totalsRowDxfId="1241"/>
    <tableColumn id="7" name="Comment" totalsRowLabel="N/A" dataDxfId="1240" totalsRowDxfId="1239" dataCellStyle="Currency"/>
    <tableColumn id="8" name="Accounts Payable_x000a_Balance" totalsRowFunction="sum" dataDxfId="1238" totalsRowDxfId="1237"/>
    <tableColumn id="9" name="Established_x000a_Accounts Receivable" totalsRowFunction="sum" dataDxfId="1236" totalsRowDxfId="1235"/>
    <tableColumn id="10" name="Less: _x000a_Recovered _x000a_Amount" totalsRowFunction="sum" dataDxfId="1234" totalsRowDxfId="1233"/>
    <tableColumn id="11" name="Accounts Receivable_x000a_Balance" totalsRowFunction="sum" dataDxfId="1232" totalsRowDxfId="1231"/>
    <tableColumn id="12" name="Net_x000a_Balance" totalsRowFunction="sum" dataDxfId="1230" totalsRowDxfId="12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6.xml><?xml version="1.0" encoding="utf-8"?>
<table xmlns="http://schemas.openxmlformats.org/spreadsheetml/2006/main" id="69" name="schoolgrandtotal" displayName="schoolgrandtotal" ref="A952:L990" totalsRowCount="1" headerRowDxfId="1228" dataDxfId="1226" totalsRowDxfId="1224" headerRowBorderDxfId="1227" tableBorderDxfId="1225">
  <autoFilter ref="A952:L989"/>
  <tableColumns count="12">
    <tableColumn id="1" name="Fiscal_x000a_Year" totalsRowLabel="Schools Total" dataDxfId="1223" totalsRowDxfId="1222"/>
    <tableColumn id="2" name="Program_x000a_Name" totalsRowLabel="N/A" dataDxfId="1221" totalsRowDxfId="1220"/>
    <tableColumn id="3" name="Legal_x000a_Reference_x000a_(Ch./Year)" totalsRowLabel="N/A" dataDxfId="1219" totalsRowDxfId="1218"/>
    <tableColumn id="4" name="Program_x000a_Number" totalsRowLabel="N/A" dataDxfId="1217" totalsRowDxfId="1216"/>
    <tableColumn id="5" name="Program_x000a_Costs" totalsRowFunction="sum" dataDxfId="1215" totalsRowDxfId="1214"/>
    <tableColumn id="6" name="Less: Net_x000a_ Payments and _x000a_Offsets 2" totalsRowFunction="custom" dataDxfId="1213" totalsRowDxfId="1212">
      <totalsRowFormula>SUM(F953:F989)</totalsRowFormula>
    </tableColumn>
    <tableColumn id="7" name="Comment" totalsRowLabel="N/A" dataDxfId="1211" totalsRowDxfId="1210"/>
    <tableColumn id="8" name="Accounts Payable_x000a_Balance" totalsRowFunction="sum" dataDxfId="1209" totalsRowDxfId="1208"/>
    <tableColumn id="9" name="Established_x000a_Accounts Receivable" totalsRowFunction="sum" dataDxfId="1207" totalsRowDxfId="1206"/>
    <tableColumn id="10" name="Less: _x000a_Recovered _x000a_Amount" totalsRowFunction="sum" dataDxfId="1205" totalsRowDxfId="1204"/>
    <tableColumn id="11" name="Accounts Receivable_x000a_Balance" totalsRowFunction="sum" dataDxfId="1203" totalsRowDxfId="1202"/>
    <tableColumn id="12" name="Net_x000a_Balance" totalsRowFunction="sum" dataDxfId="1201" totalsRowDxfId="120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 grand total."/>
    </ext>
  </extLst>
</table>
</file>

<file path=xl/tables/table87.xml><?xml version="1.0" encoding="utf-8"?>
<table xmlns="http://schemas.openxmlformats.org/spreadsheetml/2006/main" id="127" name="school202021128" displayName="school202021128" ref="A2:L29" totalsRowCount="1" headerRowDxfId="1199" dataDxfId="1198" totalsRowDxfId="1197">
  <autoFilter ref="A2:L28"/>
  <tableColumns count="12">
    <tableColumn id="1" name="Fiscal_x000a_Year" totalsRowLabel="2021-22 Total" dataDxfId="1196" totalsRowDxfId="34"/>
    <tableColumn id="2" name="Program_x000a_Name" totalsRowLabel="N/A" dataDxfId="1195" totalsRowDxfId="33"/>
    <tableColumn id="3" name="Legal_x000a_Reference_x000a_(Ch./Year)" totalsRowLabel="N/A" dataDxfId="1194" totalsRowDxfId="32"/>
    <tableColumn id="4" name="Program_x000a_Number" totalsRowLabel="N/A" dataDxfId="1193" totalsRowDxfId="31"/>
    <tableColumn id="5" name="Program_x000a_Costs" totalsRowFunction="sum" dataDxfId="1192" totalsRowDxfId="30"/>
    <tableColumn id="6" name="Less: Net_x000a_Payments and _x000a_Offsets 2" totalsRowFunction="sum" dataDxfId="1191" totalsRowDxfId="29"/>
    <tableColumn id="7" name="Comment: This amount includes offsets applied from prior years." totalsRowLabel="N/A" dataDxfId="1190" totalsRowDxfId="28" dataCellStyle="Currency"/>
    <tableColumn id="8" name="Accounts Payable_x000a_Balance" totalsRowFunction="sum" dataDxfId="1189" totalsRowDxfId="27"/>
    <tableColumn id="9" name="Established_x000a_Accounts Receivable" totalsRowFunction="sum" dataDxfId="1188" totalsRowDxfId="26"/>
    <tableColumn id="10" name="Less: _x000a_Recovered _x000a_Amount" totalsRowFunction="sum" dataDxfId="1187" totalsRowDxfId="25"/>
    <tableColumn id="11" name="Accounts Receivable_x000a_Balance" totalsRowFunction="sum" dataDxfId="1186" totalsRowDxfId="24"/>
    <tableColumn id="12" name="Net_x000a_Balance" totalsRowFunction="sum" dataDxfId="1185" totalsRowDxfId="2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School Districts."/>
    </ext>
  </extLst>
</table>
</file>

<file path=xl/tables/table88.xml><?xml version="1.0" encoding="utf-8"?>
<table xmlns="http://schemas.openxmlformats.org/spreadsheetml/2006/main" id="7" name="college201415" displayName="college201415" ref="A2:L6" totalsRowCount="1" headerRowDxfId="1184" dataDxfId="1182" totalsRowDxfId="1180" headerRowBorderDxfId="1183" tableBorderDxfId="1181">
  <autoFilter ref="A2:L5"/>
  <tableColumns count="12">
    <tableColumn id="1" name="Fiscal_x000a_Year" totalsRowLabel="2014-15 Total" dataDxfId="1179" totalsRowDxfId="22"/>
    <tableColumn id="2" name="Program_x000a_Name" totalsRowLabel="N/A" dataDxfId="1178" totalsRowDxfId="21"/>
    <tableColumn id="3" name="Legal_x000a_Reference_x000a_(Ch./Year)" totalsRowLabel="N/A" dataDxfId="1177" totalsRowDxfId="20"/>
    <tableColumn id="4" name="Program_x000a_Number" totalsRowLabel="N/A" dataDxfId="1176" totalsRowDxfId="19"/>
    <tableColumn id="5" name="Program_x000a_Costs" totalsRowFunction="sum" dataDxfId="1175" totalsRowDxfId="18"/>
    <tableColumn id="6" name="Less: Net_x000a_ Payments and _x000a_Offsets 2" totalsRowFunction="sum" dataDxfId="1174" totalsRowDxfId="17"/>
    <tableColumn id="7" name="Comment: This amount includes offsets applied from prior years." totalsRowLabel="N/A" dataDxfId="1173" totalsRowDxfId="16" dataCellStyle="Currency"/>
    <tableColumn id="8" name="Accounts Payable_x000a_Balance" totalsRowFunction="sum" dataDxfId="1172" totalsRowDxfId="15"/>
    <tableColumn id="9" name="Established_x000a_Accounts Receivable" totalsRowFunction="sum" dataDxfId="1171" totalsRowDxfId="14"/>
    <tableColumn id="10" name="Less: _x000a_Recovered _x000a_Amount" totalsRowFunction="sum" dataDxfId="1170" totalsRowDxfId="13"/>
    <tableColumn id="11" name="Accounts Receivable_x000a_Balance" totalsRowFunction="sum" dataDxfId="1169" totalsRowDxfId="12"/>
    <tableColumn id="12" name="Net_x000a_Balance" totalsRowFunction="sum" dataDxfId="1168" totalsRowDxfId="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89.xml><?xml version="1.0" encoding="utf-8"?>
<table xmlns="http://schemas.openxmlformats.org/spreadsheetml/2006/main" id="16" name="college201314" displayName="college201314" ref="A8:L12" totalsRowCount="1" headerRowDxfId="1167" dataDxfId="1165" totalsRowDxfId="1163" headerRowBorderDxfId="1166" tableBorderDxfId="1164">
  <autoFilter ref="A8:L11"/>
  <tableColumns count="12">
    <tableColumn id="1" name="Fiscal_x000a_Year" totalsRowLabel="2013-14 Total" dataDxfId="1162" totalsRowDxfId="1161"/>
    <tableColumn id="2" name="Program_x000a_Name" totalsRowLabel="N/A" dataDxfId="1160" totalsRowDxfId="1159"/>
    <tableColumn id="3" name="Legal_x000a_Reference_x000a_(Ch./Year)" totalsRowLabel="N/A" dataDxfId="1158" totalsRowDxfId="1157"/>
    <tableColumn id="4" name="Program_x000a_Number" totalsRowLabel="N/A" dataDxfId="1156" totalsRowDxfId="1155"/>
    <tableColumn id="5" name="Program_x000a_Costs" totalsRowFunction="sum" dataDxfId="1154" totalsRowDxfId="1153"/>
    <tableColumn id="6" name="Less: Net_x000a_ Payments and _x000a_Offsets 2" totalsRowFunction="sum" dataDxfId="1152" totalsRowDxfId="1151"/>
    <tableColumn id="7" name="Comment" totalsRowLabel="N/A" dataDxfId="1150" totalsRowDxfId="1149" dataCellStyle="Currency"/>
    <tableColumn id="8" name="Accounts Payable_x000a_Balance" totalsRowFunction="sum" dataDxfId="1148" totalsRowDxfId="1147"/>
    <tableColumn id="9" name="Established_x000a_Accounts Receivable" totalsRowFunction="sum" dataDxfId="1146" totalsRowDxfId="1145"/>
    <tableColumn id="10" name="Less: _x000a_Recovered _x000a_Amount" totalsRowFunction="sum" dataDxfId="1144" totalsRowDxfId="1143"/>
    <tableColumn id="11" name="Accounts Receivable_x000a_Balance" totalsRowFunction="sum" dataDxfId="1142" totalsRowDxfId="1141"/>
    <tableColumn id="12" name="Net_x000a_Balance" totalsRowFunction="sum" dataDxfId="1140" totalsRowDxfId="113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.xml><?xml version="1.0" encoding="utf-8"?>
<table xmlns="http://schemas.openxmlformats.org/spreadsheetml/2006/main" id="119" name="localpest21" displayName="localpest21" ref="A42:I44" totalsRowCount="1" headerRowDxfId="3396" dataDxfId="3394" totalsRowDxfId="3393" headerRowBorderDxfId="3395" totalsRowBorderDxfId="3392" dataCellStyle="Currency">
  <autoFilter ref="A42:I43"/>
  <tableColumns count="9">
    <tableColumn id="1" name="Program Category_x000a_and Type of Payment" totalsRowLabel="0106-8885-2021-295-98 Total" dataDxfId="3391" totalsRowDxfId="3390"/>
    <tableColumn id="2" name="Fiscal _x000a_Year" totalsRowLabel="N/A" dataDxfId="3389" totalsRowDxfId="3388"/>
    <tableColumn id="3" name="Appropriation _x000a_Number" totalsRowLabel="N/A" dataDxfId="3387" totalsRowDxfId="3386"/>
    <tableColumn id="4" name="Program _x000a_Name" totalsRowLabel="N/A" dataDxfId="3385" totalsRowDxfId="3384"/>
    <tableColumn id="5" name="Legal _x000a_Reference_x000a_(Ch./Year)" totalsRowLabel="N/A" dataDxfId="3383" totalsRowDxfId="3382"/>
    <tableColumn id="6" name="Program_x000a_Number" totalsRowLabel="N/A" dataDxfId="3381" totalsRowDxfId="3380"/>
    <tableColumn id="7" name="Program _x000a_Payments and Offsets" totalsRowFunction="sum" dataDxfId="3379" totalsRowDxfId="3378" dataCellStyle="Currency"/>
    <tableColumn id="8" name="Interest_x000a_Payments and Offsets" totalsRowFunction="sum" dataDxfId="3377" totalsRowDxfId="3376" dataCellStyle="Currency"/>
    <tableColumn id="9" name="Total _x000a_Payments" totalsRowFunction="sum" dataDxfId="3375" totalsRowDxfId="3374" dataCellStyle="Currency">
      <calculatedColumnFormula>G43+H43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A1: Detail of State-Mandated Program Payments by Fiscal Year. As of April 1, 2023. Local Agencies-Pesticide."/>
    </ext>
  </extLst>
</table>
</file>

<file path=xl/tables/table90.xml><?xml version="1.0" encoding="utf-8"?>
<table xmlns="http://schemas.openxmlformats.org/spreadsheetml/2006/main" id="70" name="college201213" displayName="college201213" ref="A14:L20" totalsRowCount="1" headerRowDxfId="1138" dataDxfId="1136" totalsRowDxfId="1134" headerRowBorderDxfId="1137" tableBorderDxfId="1135">
  <autoFilter ref="A14:L19"/>
  <tableColumns count="12">
    <tableColumn id="1" name="Fiscal_x000a_Year" totalsRowLabel="2012-13 Total" dataDxfId="1133" totalsRowDxfId="1132"/>
    <tableColumn id="2" name="Program_x000a_Name" totalsRowLabel="N/A" dataDxfId="1131" totalsRowDxfId="1130"/>
    <tableColumn id="3" name="Legal_x000a_Reference_x000a_(Ch./Year)" totalsRowLabel="N/A" dataDxfId="1129" totalsRowDxfId="1128"/>
    <tableColumn id="4" name="Program_x000a_Number" totalsRowLabel="N/A" dataDxfId="1127" totalsRowDxfId="1126"/>
    <tableColumn id="5" name="Program_x000a_Costs" totalsRowFunction="sum" dataDxfId="1125" totalsRowDxfId="1124"/>
    <tableColumn id="6" name="Less: Net_x000a_ Payments and _x000a_Offsets 2" totalsRowFunction="sum" dataDxfId="1123" totalsRowDxfId="1122"/>
    <tableColumn id="7" name="Comment" totalsRowLabel="N/A" dataDxfId="1121" totalsRowDxfId="1120" dataCellStyle="Currency"/>
    <tableColumn id="8" name="Accounts Payable_x000a_Balance" totalsRowFunction="sum" dataDxfId="1119" totalsRowDxfId="1118"/>
    <tableColumn id="9" name="Established_x000a_Accounts Receivable" totalsRowFunction="sum" dataDxfId="1117" totalsRowDxfId="1116"/>
    <tableColumn id="10" name="Less: _x000a_Recovered _x000a_Amount" totalsRowFunction="sum" dataDxfId="1115" totalsRowDxfId="1114"/>
    <tableColumn id="11" name="Accounts Receivable_x000a_Balance" totalsRowFunction="sum" dataDxfId="1113" totalsRowDxfId="1112"/>
    <tableColumn id="12" name="Net_x000a_Balance" totalsRowFunction="sum" dataDxfId="1111" totalsRowDxfId="11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1.xml><?xml version="1.0" encoding="utf-8"?>
<table xmlns="http://schemas.openxmlformats.org/spreadsheetml/2006/main" id="71" name="college201112" displayName="college201112" ref="A22:L31" totalsRowCount="1" headerRowDxfId="1109" dataDxfId="1107" totalsRowDxfId="1105" headerRowBorderDxfId="1108" tableBorderDxfId="1106">
  <autoFilter ref="A22:L30"/>
  <tableColumns count="12">
    <tableColumn id="1" name="Fiscal_x000a_Year" totalsRowLabel="2011-12 Total" dataDxfId="1104" totalsRowDxfId="1103"/>
    <tableColumn id="2" name="Program_x000a_Name" totalsRowLabel="N/A" dataDxfId="1102" totalsRowDxfId="1101"/>
    <tableColumn id="3" name="Legal_x000a_Reference_x000a_(Ch./Year)" totalsRowLabel="N/A" dataDxfId="1100" totalsRowDxfId="1099"/>
    <tableColumn id="4" name="Program_x000a_Number" totalsRowLabel="N/A" dataDxfId="1098" totalsRowDxfId="1097"/>
    <tableColumn id="5" name="Program_x000a_Costs" totalsRowFunction="sum" dataDxfId="1096" totalsRowDxfId="1095"/>
    <tableColumn id="6" name="Less: Net_x000a_ Payments and _x000a_Offsets 2" totalsRowFunction="sum" dataDxfId="1094" totalsRowDxfId="1093"/>
    <tableColumn id="7" name="Comment" totalsRowLabel="N/A" dataDxfId="1092" totalsRowDxfId="1091" dataCellStyle="Currency"/>
    <tableColumn id="8" name="Accounts Payable_x000a_Balance" totalsRowFunction="sum" dataDxfId="1090" totalsRowDxfId="1089"/>
    <tableColumn id="9" name="Established_x000a_Accounts Receivable" totalsRowFunction="sum" dataDxfId="1088" totalsRowDxfId="1087"/>
    <tableColumn id="10" name="Less: _x000a_Recovered _x000a_Amount" totalsRowFunction="sum" dataDxfId="1086" totalsRowDxfId="1085"/>
    <tableColumn id="11" name="Accounts Receivable_x000a_Balance" totalsRowFunction="sum" dataDxfId="1084" totalsRowDxfId="1083"/>
    <tableColumn id="12" name="Net_x000a_Balance" totalsRowFunction="sum" dataDxfId="1082" totalsRowDxfId="10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2.xml><?xml version="1.0" encoding="utf-8"?>
<table xmlns="http://schemas.openxmlformats.org/spreadsheetml/2006/main" id="72" name="college201011" displayName="college201011" ref="A33:L40" totalsRowCount="1" headerRowDxfId="1080" dataDxfId="1078" totalsRowDxfId="1076" headerRowBorderDxfId="1079" tableBorderDxfId="1077">
  <autoFilter ref="A33:L39"/>
  <tableColumns count="12">
    <tableColumn id="1" name="Fiscal_x000a_Year" totalsRowLabel="2010-11 Total" dataDxfId="1075" totalsRowDxfId="1074"/>
    <tableColumn id="2" name="Program_x000a_Name" totalsRowLabel="N/A" dataDxfId="1073" totalsRowDxfId="1072"/>
    <tableColumn id="3" name="Legal_x000a_Reference_x000a_(Ch./Year)" totalsRowLabel="N/A" dataDxfId="1071" totalsRowDxfId="1070"/>
    <tableColumn id="4" name="Program_x000a_Number" totalsRowLabel="N/A" dataDxfId="1069" totalsRowDxfId="1068"/>
    <tableColumn id="5" name="Program_x000a_Costs" totalsRowFunction="sum" dataDxfId="1067" totalsRowDxfId="1066"/>
    <tableColumn id="6" name="Less: Net_x000a_ Payments and _x000a_Offsets 2" totalsRowFunction="sum" dataDxfId="1065" totalsRowDxfId="1064"/>
    <tableColumn id="7" name="Comment" totalsRowLabel="N/A" dataDxfId="1063" totalsRowDxfId="1062" dataCellStyle="Currency"/>
    <tableColumn id="8" name="Accounts Payable_x000a_Balance" totalsRowFunction="sum" dataDxfId="1061" totalsRowDxfId="1060"/>
    <tableColumn id="9" name="Established_x000a_Accounts Receivable" totalsRowFunction="sum" dataDxfId="1059" totalsRowDxfId="1058"/>
    <tableColumn id="10" name="Less: _x000a_Recovered _x000a_Amount" totalsRowFunction="sum" dataDxfId="1057" totalsRowDxfId="1056"/>
    <tableColumn id="11" name="Accounts Receivable_x000a_Balance" totalsRowFunction="sum" dataDxfId="1055" totalsRowDxfId="1054"/>
    <tableColumn id="12" name="Net_x000a_Balance" totalsRowFunction="sum" dataDxfId="1053" totalsRowDxfId="10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3.xml><?xml version="1.0" encoding="utf-8"?>
<table xmlns="http://schemas.openxmlformats.org/spreadsheetml/2006/main" id="73" name="college200910" displayName="college200910" ref="A42:L50" totalsRowCount="1" headerRowDxfId="1051" dataDxfId="1049" totalsRowDxfId="1047" headerRowBorderDxfId="1050" tableBorderDxfId="1048">
  <autoFilter ref="A42:L49"/>
  <tableColumns count="12">
    <tableColumn id="1" name="Fiscal_x000a_Year" totalsRowLabel="2009-10 Total" dataDxfId="1046" totalsRowDxfId="1045"/>
    <tableColumn id="2" name="Program_x000a_Name" totalsRowLabel="N/A" dataDxfId="1044" totalsRowDxfId="1043"/>
    <tableColumn id="3" name="Legal_x000a_Reference_x000a_(Ch./Year)" totalsRowLabel="N/A" dataDxfId="1042" totalsRowDxfId="1041"/>
    <tableColumn id="4" name="Program_x000a_Number" totalsRowLabel="N/A" dataDxfId="1040" totalsRowDxfId="1039"/>
    <tableColumn id="5" name="Program_x000a_Costs" totalsRowFunction="sum" dataDxfId="1038" totalsRowDxfId="1037"/>
    <tableColumn id="6" name="Less: Net_x000a_ Payments and _x000a_Offsets 2" totalsRowFunction="sum" dataDxfId="1036" totalsRowDxfId="1035"/>
    <tableColumn id="7" name="Comment" totalsRowLabel="N/A" dataDxfId="1034" totalsRowDxfId="1033" dataCellStyle="Currency"/>
    <tableColumn id="8" name="Accounts Payable_x000a_Balance" totalsRowFunction="sum" dataDxfId="1032" totalsRowDxfId="1031"/>
    <tableColumn id="9" name="Established_x000a_Accounts Receivable" totalsRowFunction="sum" dataDxfId="1030" totalsRowDxfId="1029"/>
    <tableColumn id="10" name="Less: _x000a_Recovered _x000a_Amount" totalsRowFunction="sum" dataDxfId="1028" totalsRowDxfId="1027"/>
    <tableColumn id="11" name="Accounts Receivable_x000a_Balance" totalsRowFunction="sum" dataDxfId="1026" totalsRowDxfId="1025"/>
    <tableColumn id="12" name="Net_x000a_Balance" totalsRowFunction="sum" dataDxfId="1024" totalsRowDxfId="102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4.xml><?xml version="1.0" encoding="utf-8"?>
<table xmlns="http://schemas.openxmlformats.org/spreadsheetml/2006/main" id="74" name="college200809" displayName="college200809" ref="A52:L61" totalsRowCount="1" headerRowDxfId="1022" dataDxfId="1020" totalsRowDxfId="1018" headerRowBorderDxfId="1021" tableBorderDxfId="1019">
  <autoFilter ref="A52:L60"/>
  <tableColumns count="12">
    <tableColumn id="1" name="Fiscal_x000a_Year" totalsRowLabel="2008-09 Total" dataDxfId="1017" totalsRowDxfId="1016"/>
    <tableColumn id="2" name="Program_x000a_Name" totalsRowLabel="N/A" dataDxfId="1015" totalsRowDxfId="1014"/>
    <tableColumn id="3" name="Legal_x000a_Reference_x000a_(Ch./Year)" totalsRowLabel="N/A" dataDxfId="1013" totalsRowDxfId="1012"/>
    <tableColumn id="4" name="Program_x000a_Number" totalsRowLabel="N/A" dataDxfId="1011" totalsRowDxfId="1010"/>
    <tableColumn id="5" name="Program_x000a_Costs" totalsRowFunction="sum" dataDxfId="1009" totalsRowDxfId="1008"/>
    <tableColumn id="6" name="Less: Net_x000a_ Payments and _x000a_Offsets 2" totalsRowFunction="sum" dataDxfId="1007" totalsRowDxfId="1006"/>
    <tableColumn id="7" name="Comment" totalsRowLabel="N/A" dataDxfId="1005" totalsRowDxfId="1004" dataCellStyle="Currency"/>
    <tableColumn id="8" name="Accounts Payable_x000a_Balance" totalsRowFunction="sum" dataDxfId="1003" totalsRowDxfId="1002"/>
    <tableColumn id="9" name="Established_x000a_Accounts Receivable" totalsRowFunction="sum" dataDxfId="1001" totalsRowDxfId="1000"/>
    <tableColumn id="10" name="Less: _x000a_Recovered _x000a_Amount" totalsRowFunction="sum" dataDxfId="999" totalsRowDxfId="998"/>
    <tableColumn id="11" name="Accounts Receivable_x000a_Balance" totalsRowFunction="sum" dataDxfId="997" totalsRowDxfId="996"/>
    <tableColumn id="12" name="Net_x000a_Balance" totalsRowFunction="sum" dataDxfId="995" totalsRowDxfId="9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5.xml><?xml version="1.0" encoding="utf-8"?>
<table xmlns="http://schemas.openxmlformats.org/spreadsheetml/2006/main" id="75" name="college200708" displayName="college200708" ref="A63:L74" totalsRowCount="1" headerRowDxfId="993" dataDxfId="991" totalsRowDxfId="989" headerRowBorderDxfId="992" tableBorderDxfId="990">
  <autoFilter ref="A63:L73"/>
  <tableColumns count="12">
    <tableColumn id="1" name="Fiscal_x000a_Year" totalsRowLabel="2007-08 Total" dataDxfId="988" totalsRowDxfId="987"/>
    <tableColumn id="2" name="Program_x000a_Name" totalsRowLabel="N/A" dataDxfId="986" totalsRowDxfId="985"/>
    <tableColumn id="3" name="Legal_x000a_Reference_x000a_(Ch./Year)" totalsRowLabel="N/A" dataDxfId="984" totalsRowDxfId="983"/>
    <tableColumn id="4" name="Program_x000a_Number" totalsRowLabel="N/A" dataDxfId="982" totalsRowDxfId="981"/>
    <tableColumn id="5" name="Program_x000a_Costs" totalsRowFunction="sum" dataDxfId="980" totalsRowDxfId="979"/>
    <tableColumn id="6" name="Less: Net_x000a_ Payments and _x000a_Offsets 2" totalsRowFunction="sum" dataDxfId="978" totalsRowDxfId="977"/>
    <tableColumn id="7" name="Comment" totalsRowLabel="N/A" dataDxfId="976" totalsRowDxfId="975" dataCellStyle="Currency"/>
    <tableColumn id="8" name="Accounts Payable_x000a_Balance" totalsRowFunction="sum" dataDxfId="974" totalsRowDxfId="973"/>
    <tableColumn id="9" name="Established_x000a_Accounts Receivable" totalsRowFunction="sum" dataDxfId="972" totalsRowDxfId="971"/>
    <tableColumn id="10" name="Less: _x000a_Recovered _x000a_Amount" totalsRowFunction="sum" dataDxfId="970" totalsRowDxfId="969"/>
    <tableColumn id="11" name="Accounts Receivable_x000a_Balance" totalsRowFunction="sum" dataDxfId="968" totalsRowDxfId="967"/>
    <tableColumn id="12" name="Net_x000a_Balance" totalsRowFunction="sum" dataDxfId="966" totalsRowDxfId="96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6.xml><?xml version="1.0" encoding="utf-8"?>
<table xmlns="http://schemas.openxmlformats.org/spreadsheetml/2006/main" id="76" name="college200607" displayName="college200607" ref="A76:L85" totalsRowCount="1" headerRowDxfId="964" dataDxfId="962" totalsRowDxfId="960" headerRowBorderDxfId="963" tableBorderDxfId="961">
  <autoFilter ref="A76:L84"/>
  <tableColumns count="12">
    <tableColumn id="1" name="Fiscal_x000a_Year" totalsRowLabel="2006-07 Total" dataDxfId="959" totalsRowDxfId="958"/>
    <tableColumn id="2" name="Program_x000a_Name" totalsRowLabel="N/A" dataDxfId="957" totalsRowDxfId="956"/>
    <tableColumn id="3" name="Legal_x000a_Reference_x000a_(Ch./Year)" totalsRowLabel="N/A" dataDxfId="955" totalsRowDxfId="954"/>
    <tableColumn id="4" name="Program_x000a_Number" totalsRowLabel="N/A" dataDxfId="953" totalsRowDxfId="952"/>
    <tableColumn id="5" name="Program_x000a_Costs" totalsRowFunction="sum" dataDxfId="951" totalsRowDxfId="950"/>
    <tableColumn id="6" name="Less: Net_x000a_ Payments and _x000a_Offsets 2" totalsRowFunction="sum" dataDxfId="949" totalsRowDxfId="948"/>
    <tableColumn id="7" name="Comment" totalsRowLabel="N/A" dataDxfId="947" totalsRowDxfId="946" dataCellStyle="Currency"/>
    <tableColumn id="8" name="Accounts Payable_x000a_Balance" totalsRowFunction="sum" dataDxfId="945" totalsRowDxfId="944"/>
    <tableColumn id="9" name="Established_x000a_Accounts Receivable" totalsRowFunction="sum" dataDxfId="943" totalsRowDxfId="942"/>
    <tableColumn id="10" name="Less: _x000a_Recovered _x000a_Amount" totalsRowFunction="sum" dataDxfId="941" totalsRowDxfId="940"/>
    <tableColumn id="11" name="Accounts Receivable_x000a_Balance" totalsRowFunction="sum" dataDxfId="939" totalsRowDxfId="938"/>
    <tableColumn id="12" name="Net_x000a_Balance" totalsRowFunction="sum" dataDxfId="937" totalsRowDxfId="9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7.xml><?xml version="1.0" encoding="utf-8"?>
<table xmlns="http://schemas.openxmlformats.org/spreadsheetml/2006/main" id="77" name="college200506" displayName="college200506" ref="A87:L91" totalsRowCount="1" headerRowDxfId="935" dataDxfId="933" totalsRowDxfId="931" headerRowBorderDxfId="934" tableBorderDxfId="932">
  <autoFilter ref="A87:L90"/>
  <tableColumns count="12">
    <tableColumn id="1" name="Fiscal_x000a_Year" totalsRowLabel="2005-06 Total" dataDxfId="930" totalsRowDxfId="929"/>
    <tableColumn id="2" name="Program_x000a_Name" totalsRowLabel="N/A" dataDxfId="928" totalsRowDxfId="927"/>
    <tableColumn id="3" name="Legal_x000a_Reference_x000a_(Ch./Year)" totalsRowLabel="N/A" dataDxfId="926" totalsRowDxfId="925"/>
    <tableColumn id="4" name="Program_x000a_Number" totalsRowLabel="N/A" dataDxfId="924" totalsRowDxfId="923"/>
    <tableColumn id="5" name="Program_x000a_Costs" totalsRowFunction="sum" dataDxfId="922" totalsRowDxfId="921"/>
    <tableColumn id="6" name="Less: Net_x000a_ Payments and _x000a_Offsets 2" totalsRowFunction="sum" dataDxfId="920" totalsRowDxfId="919"/>
    <tableColumn id="7" name="Comment" totalsRowLabel="N/A" dataDxfId="918" totalsRowDxfId="917" dataCellStyle="Currency"/>
    <tableColumn id="8" name="Accounts Payable_x000a_Balance" totalsRowFunction="sum" dataDxfId="916" totalsRowDxfId="915"/>
    <tableColumn id="9" name="Established_x000a_Accounts Receivable" totalsRowFunction="sum" dataDxfId="914" totalsRowDxfId="913"/>
    <tableColumn id="10" name="Less: _x000a_Recovered _x000a_Amount" totalsRowFunction="sum" dataDxfId="912" totalsRowDxfId="911"/>
    <tableColumn id="11" name="Accounts Receivable_x000a_Balance" totalsRowFunction="sum" dataDxfId="910" totalsRowDxfId="909"/>
    <tableColumn id="12" name="Net_x000a_Balance" totalsRowFunction="sum" dataDxfId="908" totalsRowDxfId="9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8.xml><?xml version="1.0" encoding="utf-8"?>
<table xmlns="http://schemas.openxmlformats.org/spreadsheetml/2006/main" id="78" name="college200304" displayName="college200304" ref="A93:L95" totalsRowCount="1" headerRowDxfId="906" dataDxfId="904" totalsRowDxfId="902" headerRowBorderDxfId="905" tableBorderDxfId="903">
  <autoFilter ref="A93:L94"/>
  <tableColumns count="12">
    <tableColumn id="1" name="Fiscal_x000a_Year" totalsRowLabel="2003-04 Total" dataDxfId="901" totalsRowDxfId="900"/>
    <tableColumn id="2" name="Program_x000a_Name" totalsRowLabel="N/A" dataDxfId="899" totalsRowDxfId="898"/>
    <tableColumn id="3" name="Legal_x000a_Reference_x000a_(Ch./Year)" totalsRowLabel="N/A" dataDxfId="897" totalsRowDxfId="896"/>
    <tableColumn id="4" name="Program_x000a_Number" totalsRowLabel="N/A" dataDxfId="895" totalsRowDxfId="894"/>
    <tableColumn id="5" name="Program_x000a_Costs" totalsRowFunction="sum" dataDxfId="893" totalsRowDxfId="892"/>
    <tableColumn id="6" name="Less: Net_x000a_ Payments and _x000a_Offsets 2" totalsRowFunction="sum" dataDxfId="891" totalsRowDxfId="890"/>
    <tableColumn id="7" name="Comment" totalsRowLabel="N/A" dataDxfId="889" totalsRowDxfId="888" dataCellStyle="Currency"/>
    <tableColumn id="8" name="Accounts Payable_x000a_Balance" totalsRowFunction="sum" dataDxfId="887" totalsRowDxfId="886"/>
    <tableColumn id="9" name="Established_x000a_Accounts Receivable" totalsRowFunction="sum" dataDxfId="885" totalsRowDxfId="884"/>
    <tableColumn id="10" name="Less: _x000a_Recovered _x000a_Amount" totalsRowFunction="sum" dataDxfId="883" totalsRowDxfId="882"/>
    <tableColumn id="11" name="Accounts Receivable_x000a_Balance" totalsRowFunction="sum" dataDxfId="881" totalsRowDxfId="880"/>
    <tableColumn id="12" name="Net_x000a_Balance" totalsRowFunction="sum" dataDxfId="879" totalsRowDxfId="8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ables/table99.xml><?xml version="1.0" encoding="utf-8"?>
<table xmlns="http://schemas.openxmlformats.org/spreadsheetml/2006/main" id="79" name="college200203" displayName="college200203" ref="A97:L101" totalsRowCount="1" headerRowDxfId="877" dataDxfId="875" totalsRowDxfId="873" headerRowBorderDxfId="876" tableBorderDxfId="874">
  <autoFilter ref="A97:L100"/>
  <tableColumns count="12">
    <tableColumn id="1" name="Fiscal_x000a_Year" totalsRowLabel="2002-03 Total" dataDxfId="872" totalsRowDxfId="871"/>
    <tableColumn id="2" name="Program_x000a_Name" totalsRowLabel="N/A" dataDxfId="870" totalsRowDxfId="869"/>
    <tableColumn id="3" name="Legal_x000a_Reference_x000a_(Ch./Year)" totalsRowLabel="N/A" dataDxfId="868" totalsRowDxfId="867"/>
    <tableColumn id="4" name="Program_x000a_Number" totalsRowLabel="N/A" dataDxfId="866" totalsRowDxfId="865"/>
    <tableColumn id="5" name="Program_x000a_Costs" totalsRowFunction="sum" dataDxfId="864" totalsRowDxfId="863"/>
    <tableColumn id="6" name="Less: Net_x000a_ Payments and _x000a_Offsets 2" totalsRowFunction="sum" dataDxfId="862" totalsRowDxfId="861"/>
    <tableColumn id="7" name="Comment" totalsRowLabel="N/A" dataDxfId="860" totalsRowDxfId="859" dataCellStyle="Currency"/>
    <tableColumn id="8" name="Accounts Payable_x000a_Balance" totalsRowFunction="sum" dataDxfId="858" totalsRowDxfId="857"/>
    <tableColumn id="9" name="Established_x000a_Accounts Receivable" totalsRowFunction="sum" dataDxfId="856" totalsRowDxfId="855"/>
    <tableColumn id="10" name="Less: _x000a_Recovered _x000a_Amount" totalsRowFunction="sum" dataDxfId="854" totalsRowDxfId="853"/>
    <tableColumn id="11" name="Accounts Receivable_x000a_Balance" totalsRowFunction="sum" dataDxfId="852" totalsRowDxfId="851"/>
    <tableColumn id="12" name="Net_x000a_Balance" totalsRowFunction="sum" dataDxfId="850" totalsRowDxfId="84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Deficiency Report" altTextSummary="Schedule B1: Detail of Funded State-Mandated Programs by Fiscal Year. As of April 1, 2023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1.xml"/><Relationship Id="rId13" Type="http://schemas.openxmlformats.org/officeDocument/2006/relationships/table" Target="../tables/table116.xml"/><Relationship Id="rId18" Type="http://schemas.openxmlformats.org/officeDocument/2006/relationships/table" Target="../tables/table121.xml"/><Relationship Id="rId3" Type="http://schemas.openxmlformats.org/officeDocument/2006/relationships/table" Target="../tables/table106.xml"/><Relationship Id="rId21" Type="http://schemas.openxmlformats.org/officeDocument/2006/relationships/table" Target="../tables/table124.xml"/><Relationship Id="rId7" Type="http://schemas.openxmlformats.org/officeDocument/2006/relationships/table" Target="../tables/table110.xml"/><Relationship Id="rId12" Type="http://schemas.openxmlformats.org/officeDocument/2006/relationships/table" Target="../tables/table115.xml"/><Relationship Id="rId17" Type="http://schemas.openxmlformats.org/officeDocument/2006/relationships/table" Target="../tables/table120.xml"/><Relationship Id="rId2" Type="http://schemas.openxmlformats.org/officeDocument/2006/relationships/vmlDrawing" Target="../drawings/vmlDrawing7.vml"/><Relationship Id="rId16" Type="http://schemas.openxmlformats.org/officeDocument/2006/relationships/table" Target="../tables/table119.xml"/><Relationship Id="rId20" Type="http://schemas.openxmlformats.org/officeDocument/2006/relationships/table" Target="../tables/table123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9.xml"/><Relationship Id="rId11" Type="http://schemas.openxmlformats.org/officeDocument/2006/relationships/table" Target="../tables/table114.xml"/><Relationship Id="rId5" Type="http://schemas.openxmlformats.org/officeDocument/2006/relationships/table" Target="../tables/table108.xml"/><Relationship Id="rId15" Type="http://schemas.openxmlformats.org/officeDocument/2006/relationships/table" Target="../tables/table118.xml"/><Relationship Id="rId23" Type="http://schemas.openxmlformats.org/officeDocument/2006/relationships/comments" Target="../comments7.xml"/><Relationship Id="rId10" Type="http://schemas.openxmlformats.org/officeDocument/2006/relationships/table" Target="../tables/table113.xml"/><Relationship Id="rId19" Type="http://schemas.openxmlformats.org/officeDocument/2006/relationships/table" Target="../tables/table122.xml"/><Relationship Id="rId4" Type="http://schemas.openxmlformats.org/officeDocument/2006/relationships/table" Target="../tables/table107.xml"/><Relationship Id="rId9" Type="http://schemas.openxmlformats.org/officeDocument/2006/relationships/table" Target="../tables/table112.xml"/><Relationship Id="rId14" Type="http://schemas.openxmlformats.org/officeDocument/2006/relationships/table" Target="../tables/table117.xml"/><Relationship Id="rId22" Type="http://schemas.openxmlformats.org/officeDocument/2006/relationships/table" Target="../tables/table12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6.xml"/><Relationship Id="rId5" Type="http://schemas.openxmlformats.org/officeDocument/2006/relationships/table" Target="../tables/table15.xml"/><Relationship Id="rId4" Type="http://schemas.openxmlformats.org/officeDocument/2006/relationships/table" Target="../tables/table14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.xml"/><Relationship Id="rId13" Type="http://schemas.openxmlformats.org/officeDocument/2006/relationships/table" Target="../tables/table29.xml"/><Relationship Id="rId18" Type="http://schemas.openxmlformats.org/officeDocument/2006/relationships/table" Target="../tables/table34.xml"/><Relationship Id="rId26" Type="http://schemas.openxmlformats.org/officeDocument/2006/relationships/table" Target="../tables/table42.xml"/><Relationship Id="rId3" Type="http://schemas.openxmlformats.org/officeDocument/2006/relationships/table" Target="../tables/table19.xml"/><Relationship Id="rId21" Type="http://schemas.openxmlformats.org/officeDocument/2006/relationships/table" Target="../tables/table37.xml"/><Relationship Id="rId34" Type="http://schemas.openxmlformats.org/officeDocument/2006/relationships/comments" Target="../comments4.xml"/><Relationship Id="rId7" Type="http://schemas.openxmlformats.org/officeDocument/2006/relationships/table" Target="../tables/table23.xml"/><Relationship Id="rId12" Type="http://schemas.openxmlformats.org/officeDocument/2006/relationships/table" Target="../tables/table28.xml"/><Relationship Id="rId17" Type="http://schemas.openxmlformats.org/officeDocument/2006/relationships/table" Target="../tables/table33.xml"/><Relationship Id="rId25" Type="http://schemas.openxmlformats.org/officeDocument/2006/relationships/table" Target="../tables/table41.xml"/><Relationship Id="rId33" Type="http://schemas.openxmlformats.org/officeDocument/2006/relationships/table" Target="../tables/table49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2.xml"/><Relationship Id="rId20" Type="http://schemas.openxmlformats.org/officeDocument/2006/relationships/table" Target="../tables/table36.xml"/><Relationship Id="rId29" Type="http://schemas.openxmlformats.org/officeDocument/2006/relationships/table" Target="../tables/table45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2.xml"/><Relationship Id="rId11" Type="http://schemas.openxmlformats.org/officeDocument/2006/relationships/table" Target="../tables/table27.xml"/><Relationship Id="rId24" Type="http://schemas.openxmlformats.org/officeDocument/2006/relationships/table" Target="../tables/table40.xml"/><Relationship Id="rId32" Type="http://schemas.openxmlformats.org/officeDocument/2006/relationships/table" Target="../tables/table48.xml"/><Relationship Id="rId5" Type="http://schemas.openxmlformats.org/officeDocument/2006/relationships/table" Target="../tables/table21.xml"/><Relationship Id="rId15" Type="http://schemas.openxmlformats.org/officeDocument/2006/relationships/table" Target="../tables/table31.xml"/><Relationship Id="rId23" Type="http://schemas.openxmlformats.org/officeDocument/2006/relationships/table" Target="../tables/table39.xml"/><Relationship Id="rId28" Type="http://schemas.openxmlformats.org/officeDocument/2006/relationships/table" Target="../tables/table44.xml"/><Relationship Id="rId10" Type="http://schemas.openxmlformats.org/officeDocument/2006/relationships/table" Target="../tables/table26.xml"/><Relationship Id="rId19" Type="http://schemas.openxmlformats.org/officeDocument/2006/relationships/table" Target="../tables/table35.xml"/><Relationship Id="rId31" Type="http://schemas.openxmlformats.org/officeDocument/2006/relationships/table" Target="../tables/table47.xml"/><Relationship Id="rId4" Type="http://schemas.openxmlformats.org/officeDocument/2006/relationships/table" Target="../tables/table20.xml"/><Relationship Id="rId9" Type="http://schemas.openxmlformats.org/officeDocument/2006/relationships/table" Target="../tables/table25.xml"/><Relationship Id="rId14" Type="http://schemas.openxmlformats.org/officeDocument/2006/relationships/table" Target="../tables/table30.xml"/><Relationship Id="rId22" Type="http://schemas.openxmlformats.org/officeDocument/2006/relationships/table" Target="../tables/table38.xml"/><Relationship Id="rId27" Type="http://schemas.openxmlformats.org/officeDocument/2006/relationships/table" Target="../tables/table43.xml"/><Relationship Id="rId30" Type="http://schemas.openxmlformats.org/officeDocument/2006/relationships/table" Target="../tables/table4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5.xml"/><Relationship Id="rId13" Type="http://schemas.openxmlformats.org/officeDocument/2006/relationships/table" Target="../tables/table60.xml"/><Relationship Id="rId18" Type="http://schemas.openxmlformats.org/officeDocument/2006/relationships/table" Target="../tables/table65.xml"/><Relationship Id="rId26" Type="http://schemas.openxmlformats.org/officeDocument/2006/relationships/table" Target="../tables/table73.xml"/><Relationship Id="rId39" Type="http://schemas.openxmlformats.org/officeDocument/2006/relationships/table" Target="../tables/table86.xml"/><Relationship Id="rId3" Type="http://schemas.openxmlformats.org/officeDocument/2006/relationships/table" Target="../tables/table50.xml"/><Relationship Id="rId21" Type="http://schemas.openxmlformats.org/officeDocument/2006/relationships/table" Target="../tables/table68.xml"/><Relationship Id="rId34" Type="http://schemas.openxmlformats.org/officeDocument/2006/relationships/table" Target="../tables/table81.xml"/><Relationship Id="rId7" Type="http://schemas.openxmlformats.org/officeDocument/2006/relationships/table" Target="../tables/table54.xml"/><Relationship Id="rId12" Type="http://schemas.openxmlformats.org/officeDocument/2006/relationships/table" Target="../tables/table59.xml"/><Relationship Id="rId17" Type="http://schemas.openxmlformats.org/officeDocument/2006/relationships/table" Target="../tables/table64.xml"/><Relationship Id="rId25" Type="http://schemas.openxmlformats.org/officeDocument/2006/relationships/table" Target="../tables/table72.xml"/><Relationship Id="rId33" Type="http://schemas.openxmlformats.org/officeDocument/2006/relationships/table" Target="../tables/table80.xml"/><Relationship Id="rId38" Type="http://schemas.openxmlformats.org/officeDocument/2006/relationships/table" Target="../tables/table85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3.xml"/><Relationship Id="rId20" Type="http://schemas.openxmlformats.org/officeDocument/2006/relationships/table" Target="../tables/table67.xml"/><Relationship Id="rId29" Type="http://schemas.openxmlformats.org/officeDocument/2006/relationships/table" Target="../tables/table76.xml"/><Relationship Id="rId41" Type="http://schemas.openxmlformats.org/officeDocument/2006/relationships/comments" Target="../comments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3.xml"/><Relationship Id="rId11" Type="http://schemas.openxmlformats.org/officeDocument/2006/relationships/table" Target="../tables/table58.xml"/><Relationship Id="rId24" Type="http://schemas.openxmlformats.org/officeDocument/2006/relationships/table" Target="../tables/table71.xml"/><Relationship Id="rId32" Type="http://schemas.openxmlformats.org/officeDocument/2006/relationships/table" Target="../tables/table79.xml"/><Relationship Id="rId37" Type="http://schemas.openxmlformats.org/officeDocument/2006/relationships/table" Target="../tables/table84.xml"/><Relationship Id="rId40" Type="http://schemas.openxmlformats.org/officeDocument/2006/relationships/table" Target="../tables/table87.xml"/><Relationship Id="rId5" Type="http://schemas.openxmlformats.org/officeDocument/2006/relationships/table" Target="../tables/table52.xml"/><Relationship Id="rId15" Type="http://schemas.openxmlformats.org/officeDocument/2006/relationships/table" Target="../tables/table62.xml"/><Relationship Id="rId23" Type="http://schemas.openxmlformats.org/officeDocument/2006/relationships/table" Target="../tables/table70.xml"/><Relationship Id="rId28" Type="http://schemas.openxmlformats.org/officeDocument/2006/relationships/table" Target="../tables/table75.xml"/><Relationship Id="rId36" Type="http://schemas.openxmlformats.org/officeDocument/2006/relationships/table" Target="../tables/table83.xml"/><Relationship Id="rId10" Type="http://schemas.openxmlformats.org/officeDocument/2006/relationships/table" Target="../tables/table57.xml"/><Relationship Id="rId19" Type="http://schemas.openxmlformats.org/officeDocument/2006/relationships/table" Target="../tables/table66.xml"/><Relationship Id="rId31" Type="http://schemas.openxmlformats.org/officeDocument/2006/relationships/table" Target="../tables/table78.xml"/><Relationship Id="rId4" Type="http://schemas.openxmlformats.org/officeDocument/2006/relationships/table" Target="../tables/table51.xml"/><Relationship Id="rId9" Type="http://schemas.openxmlformats.org/officeDocument/2006/relationships/table" Target="../tables/table56.xml"/><Relationship Id="rId14" Type="http://schemas.openxmlformats.org/officeDocument/2006/relationships/table" Target="../tables/table61.xml"/><Relationship Id="rId22" Type="http://schemas.openxmlformats.org/officeDocument/2006/relationships/table" Target="../tables/table69.xml"/><Relationship Id="rId27" Type="http://schemas.openxmlformats.org/officeDocument/2006/relationships/table" Target="../tables/table74.xml"/><Relationship Id="rId30" Type="http://schemas.openxmlformats.org/officeDocument/2006/relationships/table" Target="../tables/table77.xml"/><Relationship Id="rId35" Type="http://schemas.openxmlformats.org/officeDocument/2006/relationships/table" Target="../tables/table8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3.xml"/><Relationship Id="rId13" Type="http://schemas.openxmlformats.org/officeDocument/2006/relationships/table" Target="../tables/table98.xml"/><Relationship Id="rId18" Type="http://schemas.openxmlformats.org/officeDocument/2006/relationships/table" Target="../tables/table103.xml"/><Relationship Id="rId3" Type="http://schemas.openxmlformats.org/officeDocument/2006/relationships/table" Target="../tables/table88.xml"/><Relationship Id="rId21" Type="http://schemas.openxmlformats.org/officeDocument/2006/relationships/comments" Target="../comments6.xml"/><Relationship Id="rId7" Type="http://schemas.openxmlformats.org/officeDocument/2006/relationships/table" Target="../tables/table92.xml"/><Relationship Id="rId12" Type="http://schemas.openxmlformats.org/officeDocument/2006/relationships/table" Target="../tables/table97.xml"/><Relationship Id="rId17" Type="http://schemas.openxmlformats.org/officeDocument/2006/relationships/table" Target="../tables/table102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1.xml"/><Relationship Id="rId20" Type="http://schemas.openxmlformats.org/officeDocument/2006/relationships/table" Target="../tables/table105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1.xml"/><Relationship Id="rId11" Type="http://schemas.openxmlformats.org/officeDocument/2006/relationships/table" Target="../tables/table96.xml"/><Relationship Id="rId5" Type="http://schemas.openxmlformats.org/officeDocument/2006/relationships/table" Target="../tables/table90.xml"/><Relationship Id="rId15" Type="http://schemas.openxmlformats.org/officeDocument/2006/relationships/table" Target="../tables/table100.xml"/><Relationship Id="rId10" Type="http://schemas.openxmlformats.org/officeDocument/2006/relationships/table" Target="../tables/table95.xml"/><Relationship Id="rId19" Type="http://schemas.openxmlformats.org/officeDocument/2006/relationships/table" Target="../tables/table104.xml"/><Relationship Id="rId4" Type="http://schemas.openxmlformats.org/officeDocument/2006/relationships/table" Target="../tables/table89.xml"/><Relationship Id="rId9" Type="http://schemas.openxmlformats.org/officeDocument/2006/relationships/table" Target="../tables/table94.xml"/><Relationship Id="rId14" Type="http://schemas.openxmlformats.org/officeDocument/2006/relationships/table" Target="../tables/table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abSelected="1" zoomScaleNormal="100" workbookViewId="0">
      <selection activeCell="A12" sqref="A12"/>
    </sheetView>
  </sheetViews>
  <sheetFormatPr defaultRowHeight="15" x14ac:dyDescent="0.25"/>
  <cols>
    <col min="1" max="1" width="152.5703125" bestFit="1" customWidth="1"/>
  </cols>
  <sheetData>
    <row r="1" spans="1:12" ht="29.25" x14ac:dyDescent="0.25">
      <c r="A1" s="3" t="s">
        <v>514</v>
      </c>
    </row>
    <row r="2" spans="1:12" ht="45.75" x14ac:dyDescent="0.25">
      <c r="A2" s="4" t="s">
        <v>515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ht="48" x14ac:dyDescent="0.25">
      <c r="A3" s="4" t="s">
        <v>516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29.25" x14ac:dyDescent="0.25">
      <c r="A4" s="3" t="s">
        <v>517</v>
      </c>
    </row>
    <row r="5" spans="1:12" ht="29.25" x14ac:dyDescent="0.25">
      <c r="A5" s="3" t="s">
        <v>535</v>
      </c>
    </row>
    <row r="6" spans="1:12" x14ac:dyDescent="0.25">
      <c r="A6" s="5" t="s">
        <v>457</v>
      </c>
    </row>
    <row r="7" spans="1:12" x14ac:dyDescent="0.25">
      <c r="A7" s="5" t="s">
        <v>457</v>
      </c>
    </row>
    <row r="8" spans="1:12" x14ac:dyDescent="0.25">
      <c r="A8" s="5" t="s">
        <v>457</v>
      </c>
    </row>
    <row r="9" spans="1:12" x14ac:dyDescent="0.25">
      <c r="A9" s="5" t="s">
        <v>457</v>
      </c>
    </row>
    <row r="10" spans="1:12" x14ac:dyDescent="0.25">
      <c r="A10" s="5" t="s">
        <v>457</v>
      </c>
    </row>
    <row r="11" spans="1:12" x14ac:dyDescent="0.25">
      <c r="A11" s="5" t="s">
        <v>457</v>
      </c>
    </row>
    <row r="12" spans="1:12" x14ac:dyDescent="0.25">
      <c r="A12" s="5" t="s">
        <v>457</v>
      </c>
    </row>
    <row r="13" spans="1:12" x14ac:dyDescent="0.25">
      <c r="A13" s="5" t="s">
        <v>457</v>
      </c>
    </row>
    <row r="14" spans="1:12" x14ac:dyDescent="0.25">
      <c r="A14" s="5" t="s">
        <v>457</v>
      </c>
    </row>
    <row r="15" spans="1:12" x14ac:dyDescent="0.25">
      <c r="A15" s="5" t="s">
        <v>457</v>
      </c>
    </row>
    <row r="16" spans="1:12" x14ac:dyDescent="0.25">
      <c r="A16" s="5" t="s">
        <v>457</v>
      </c>
    </row>
    <row r="17" spans="1:10" x14ac:dyDescent="0.25">
      <c r="A17" s="5" t="s">
        <v>457</v>
      </c>
    </row>
    <row r="18" spans="1:10" x14ac:dyDescent="0.25">
      <c r="A18" s="5" t="s">
        <v>457</v>
      </c>
    </row>
    <row r="19" spans="1:10" x14ac:dyDescent="0.25">
      <c r="A19" s="5" t="s">
        <v>457</v>
      </c>
    </row>
    <row r="20" spans="1:10" x14ac:dyDescent="0.25">
      <c r="A20" s="5" t="s">
        <v>457</v>
      </c>
    </row>
    <row r="21" spans="1:10" x14ac:dyDescent="0.25">
      <c r="A21" s="5" t="s">
        <v>457</v>
      </c>
    </row>
    <row r="22" spans="1:10" x14ac:dyDescent="0.25">
      <c r="A22" s="5" t="s">
        <v>457</v>
      </c>
    </row>
    <row r="23" spans="1:10" x14ac:dyDescent="0.25">
      <c r="A23" s="5" t="s">
        <v>457</v>
      </c>
      <c r="F23" s="1"/>
      <c r="G23" s="1"/>
      <c r="H23" s="1"/>
    </row>
    <row r="24" spans="1:10" ht="15.75" x14ac:dyDescent="0.25">
      <c r="A24" s="6" t="s">
        <v>518</v>
      </c>
      <c r="D24" s="1"/>
      <c r="E24" s="1"/>
      <c r="F24" s="1"/>
      <c r="G24" s="1"/>
      <c r="H24" s="1"/>
      <c r="I24" s="1"/>
      <c r="J24" s="1"/>
    </row>
    <row r="25" spans="1:10" ht="39.75" x14ac:dyDescent="0.25">
      <c r="A25" s="7" t="s">
        <v>533</v>
      </c>
    </row>
    <row r="26" spans="1:10" ht="29.25" x14ac:dyDescent="0.25">
      <c r="A26" s="3" t="s">
        <v>519</v>
      </c>
    </row>
  </sheetData>
  <pageMargins left="0.7" right="0.7" top="0.75" bottom="0.75" header="0.3" footer="0.3"/>
  <pageSetup scale="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53"/>
  <sheetViews>
    <sheetView topLeftCell="A186" zoomScaleNormal="100" zoomScaleSheetLayoutView="80" zoomScalePageLayoutView="80" workbookViewId="0">
      <selection activeCell="A215" sqref="A215:XFD226"/>
    </sheetView>
  </sheetViews>
  <sheetFormatPr defaultColWidth="9.140625" defaultRowHeight="15" x14ac:dyDescent="0.2"/>
  <cols>
    <col min="1" max="1" width="102.140625" style="215" customWidth="1"/>
    <col min="2" max="2" width="17" style="109" customWidth="1"/>
    <col min="3" max="3" width="14.5703125" style="249" customWidth="1"/>
    <col min="4" max="4" width="12.5703125" style="109" customWidth="1"/>
    <col min="5" max="5" width="21.7109375" style="217" bestFit="1" customWidth="1"/>
    <col min="6" max="6" width="18.42578125" style="218" bestFit="1" customWidth="1"/>
    <col min="7" max="7" width="21.7109375" style="217" bestFit="1" customWidth="1"/>
    <col min="8" max="8" width="20.140625" style="218" bestFit="1" customWidth="1"/>
    <col min="9" max="9" width="19.5703125" style="218" bestFit="1" customWidth="1"/>
    <col min="10" max="10" width="15.5703125" style="217" customWidth="1"/>
    <col min="11" max="11" width="21.7109375" style="217" bestFit="1" customWidth="1"/>
    <col min="12" max="16384" width="9.140625" style="99"/>
  </cols>
  <sheetData>
    <row r="1" spans="1:11" ht="54" customHeight="1" x14ac:dyDescent="0.2">
      <c r="A1" s="82" t="s">
        <v>595</v>
      </c>
      <c r="B1" s="83"/>
      <c r="C1" s="295"/>
      <c r="D1" s="83"/>
      <c r="E1" s="223"/>
      <c r="F1" s="223"/>
      <c r="G1" s="223"/>
      <c r="H1" s="223"/>
      <c r="I1" s="223"/>
      <c r="J1" s="223"/>
      <c r="K1" s="223"/>
    </row>
    <row r="2" spans="1:11" s="229" customFormat="1" ht="62.1" customHeight="1" x14ac:dyDescent="0.2">
      <c r="A2" s="40" t="s">
        <v>15</v>
      </c>
      <c r="B2" s="40" t="s">
        <v>16</v>
      </c>
      <c r="C2" s="40" t="s">
        <v>468</v>
      </c>
      <c r="D2" s="40" t="s">
        <v>1</v>
      </c>
      <c r="E2" s="230" t="s">
        <v>3</v>
      </c>
      <c r="F2" s="231" t="s">
        <v>469</v>
      </c>
      <c r="G2" s="230" t="s">
        <v>461</v>
      </c>
      <c r="H2" s="230" t="s">
        <v>460</v>
      </c>
      <c r="I2" s="230" t="s">
        <v>470</v>
      </c>
      <c r="J2" s="230" t="s">
        <v>458</v>
      </c>
      <c r="K2" s="230" t="s">
        <v>17</v>
      </c>
    </row>
    <row r="3" spans="1:11" ht="15" customHeight="1" x14ac:dyDescent="0.2">
      <c r="A3" s="198" t="s">
        <v>164</v>
      </c>
      <c r="B3" s="37" t="s">
        <v>165</v>
      </c>
      <c r="C3" s="103">
        <v>288</v>
      </c>
      <c r="D3" s="103" t="s">
        <v>159</v>
      </c>
      <c r="E3" s="122">
        <v>130288</v>
      </c>
      <c r="F3" s="199">
        <v>0</v>
      </c>
      <c r="G3" s="122">
        <v>130288</v>
      </c>
      <c r="H3" s="199">
        <v>0</v>
      </c>
      <c r="I3" s="199">
        <v>0</v>
      </c>
      <c r="J3" s="199">
        <v>0</v>
      </c>
      <c r="K3" s="122">
        <v>130288</v>
      </c>
    </row>
    <row r="4" spans="1:11" ht="15" customHeight="1" x14ac:dyDescent="0.2">
      <c r="A4" s="198" t="s">
        <v>164</v>
      </c>
      <c r="B4" s="37" t="s">
        <v>165</v>
      </c>
      <c r="C4" s="103">
        <v>288</v>
      </c>
      <c r="D4" s="103" t="s">
        <v>163</v>
      </c>
      <c r="E4" s="122">
        <v>85888</v>
      </c>
      <c r="F4" s="199">
        <v>0</v>
      </c>
      <c r="G4" s="122">
        <v>85888</v>
      </c>
      <c r="H4" s="199">
        <v>0</v>
      </c>
      <c r="I4" s="199">
        <v>0</v>
      </c>
      <c r="J4" s="199">
        <v>0</v>
      </c>
      <c r="K4" s="122">
        <v>85888</v>
      </c>
    </row>
    <row r="5" spans="1:11" s="229" customFormat="1" ht="15" customHeight="1" x14ac:dyDescent="0.2">
      <c r="A5" s="79" t="s">
        <v>409</v>
      </c>
      <c r="B5" s="115" t="s">
        <v>457</v>
      </c>
      <c r="C5" s="115" t="s">
        <v>457</v>
      </c>
      <c r="D5" s="115" t="s">
        <v>457</v>
      </c>
      <c r="E5" s="117">
        <f>SUBTOTAL(109,local288[Program
Costs])</f>
        <v>216176</v>
      </c>
      <c r="F5" s="204">
        <f>SUBTOTAL(109,local288[Less: Net
Payments 
and Offsets])</f>
        <v>0</v>
      </c>
      <c r="G5" s="117">
        <f>SUBTOTAL(109,local288[Accounts Payable
Balance])</f>
        <v>216176</v>
      </c>
      <c r="H5" s="204">
        <f>SUBTOTAL(109,local288[Established
Accounts Receivable])</f>
        <v>0</v>
      </c>
      <c r="I5" s="204">
        <f>SUBTOTAL(109,local288[Less:
 Recovered
Amount])</f>
        <v>0</v>
      </c>
      <c r="J5" s="204">
        <f>SUBTOTAL(109,local288[Accounts Receivable
Balance])</f>
        <v>0</v>
      </c>
      <c r="K5" s="117">
        <f>SUBTOTAL(109,local288[Net
Balance])</f>
        <v>216176</v>
      </c>
    </row>
    <row r="6" spans="1:11" s="229" customFormat="1" ht="15.75" customHeight="1" x14ac:dyDescent="0.2">
      <c r="A6" s="296" t="s">
        <v>463</v>
      </c>
      <c r="B6" s="103"/>
      <c r="C6" s="130"/>
      <c r="D6" s="103"/>
      <c r="E6" s="297"/>
      <c r="F6" s="298"/>
      <c r="G6" s="297"/>
      <c r="H6" s="298"/>
      <c r="I6" s="298"/>
      <c r="J6" s="298"/>
      <c r="K6" s="297"/>
    </row>
    <row r="7" spans="1:11" ht="62.1" customHeight="1" x14ac:dyDescent="0.2">
      <c r="A7" s="40" t="s">
        <v>15</v>
      </c>
      <c r="B7" s="40" t="s">
        <v>16</v>
      </c>
      <c r="C7" s="40" t="s">
        <v>468</v>
      </c>
      <c r="D7" s="40" t="s">
        <v>1</v>
      </c>
      <c r="E7" s="230" t="s">
        <v>3</v>
      </c>
      <c r="F7" s="231" t="s">
        <v>469</v>
      </c>
      <c r="G7" s="230" t="s">
        <v>461</v>
      </c>
      <c r="H7" s="230" t="s">
        <v>460</v>
      </c>
      <c r="I7" s="230" t="s">
        <v>470</v>
      </c>
      <c r="J7" s="230" t="s">
        <v>458</v>
      </c>
      <c r="K7" s="230" t="s">
        <v>17</v>
      </c>
    </row>
    <row r="8" spans="1:11" ht="15" customHeight="1" x14ac:dyDescent="0.2">
      <c r="A8" s="198" t="s">
        <v>597</v>
      </c>
      <c r="B8" s="37" t="s">
        <v>598</v>
      </c>
      <c r="C8" s="103">
        <v>379</v>
      </c>
      <c r="D8" s="103" t="s">
        <v>589</v>
      </c>
      <c r="E8" s="122">
        <v>925379</v>
      </c>
      <c r="F8" s="199">
        <v>0</v>
      </c>
      <c r="G8" s="122">
        <v>925379</v>
      </c>
      <c r="H8" s="199">
        <v>0</v>
      </c>
      <c r="I8" s="199">
        <v>0</v>
      </c>
      <c r="J8" s="199">
        <v>0</v>
      </c>
      <c r="K8" s="122">
        <v>925379</v>
      </c>
    </row>
    <row r="9" spans="1:11" ht="15" customHeight="1" x14ac:dyDescent="0.2">
      <c r="A9" s="198" t="s">
        <v>597</v>
      </c>
      <c r="B9" s="37" t="s">
        <v>598</v>
      </c>
      <c r="C9" s="103">
        <v>379</v>
      </c>
      <c r="D9" s="103" t="s">
        <v>425</v>
      </c>
      <c r="E9" s="122">
        <v>1047314</v>
      </c>
      <c r="F9" s="199">
        <v>0</v>
      </c>
      <c r="G9" s="122">
        <v>1047314</v>
      </c>
      <c r="H9" s="199">
        <v>0</v>
      </c>
      <c r="I9" s="199">
        <v>0</v>
      </c>
      <c r="J9" s="199">
        <v>0</v>
      </c>
      <c r="K9" s="122">
        <v>1047314</v>
      </c>
    </row>
    <row r="10" spans="1:11" ht="15" customHeight="1" x14ac:dyDescent="0.2">
      <c r="A10" s="198" t="s">
        <v>597</v>
      </c>
      <c r="B10" s="37" t="s">
        <v>598</v>
      </c>
      <c r="C10" s="103">
        <v>379</v>
      </c>
      <c r="D10" s="103" t="s">
        <v>18</v>
      </c>
      <c r="E10" s="122">
        <v>20494</v>
      </c>
      <c r="F10" s="199">
        <v>0</v>
      </c>
      <c r="G10" s="122">
        <v>20494</v>
      </c>
      <c r="H10" s="199">
        <v>0</v>
      </c>
      <c r="I10" s="199">
        <v>0</v>
      </c>
      <c r="J10" s="199">
        <v>0</v>
      </c>
      <c r="K10" s="122">
        <v>20494</v>
      </c>
    </row>
    <row r="11" spans="1:11" ht="15" customHeight="1" x14ac:dyDescent="0.2">
      <c r="A11" s="79" t="s">
        <v>415</v>
      </c>
      <c r="B11" s="115" t="s">
        <v>457</v>
      </c>
      <c r="C11" s="115" t="s">
        <v>457</v>
      </c>
      <c r="D11" s="115" t="s">
        <v>457</v>
      </c>
      <c r="E11" s="117">
        <f>SUBTOTAL(109,local259130[Program
Costs])</f>
        <v>1993187</v>
      </c>
      <c r="F11" s="204">
        <f>SUBTOTAL(109,local259130[Less: Net
Payments 
and Offsets])</f>
        <v>0</v>
      </c>
      <c r="G11" s="117">
        <f>SUBTOTAL(109,local259130[Accounts Payable
Balance])</f>
        <v>1993187</v>
      </c>
      <c r="H11" s="204">
        <f>SUBTOTAL(109,local259130[Established
Accounts Receivable])</f>
        <v>0</v>
      </c>
      <c r="I11" s="204">
        <f>SUBTOTAL(109,local259130[Less:
 Recovered
Amount])</f>
        <v>0</v>
      </c>
      <c r="J11" s="204">
        <f>SUBTOTAL(109,local259130[Accounts Receivable
Balance])</f>
        <v>0</v>
      </c>
      <c r="K11" s="117">
        <f>SUBTOTAL(109,local259130[Net
Balance])</f>
        <v>1993187</v>
      </c>
    </row>
    <row r="12" spans="1:11" ht="15.75" customHeight="1" x14ac:dyDescent="0.2">
      <c r="A12" s="296" t="s">
        <v>463</v>
      </c>
      <c r="B12" s="103"/>
      <c r="C12" s="130"/>
      <c r="D12" s="103"/>
      <c r="E12" s="297"/>
      <c r="F12" s="298"/>
      <c r="G12" s="297"/>
      <c r="H12" s="298"/>
      <c r="I12" s="298"/>
      <c r="J12" s="298"/>
      <c r="K12" s="297"/>
    </row>
    <row r="13" spans="1:11" ht="62.1" customHeight="1" x14ac:dyDescent="0.2">
      <c r="A13" s="40" t="s">
        <v>15</v>
      </c>
      <c r="B13" s="40" t="s">
        <v>16</v>
      </c>
      <c r="C13" s="40" t="s">
        <v>468</v>
      </c>
      <c r="D13" s="40" t="s">
        <v>1</v>
      </c>
      <c r="E13" s="230" t="s">
        <v>3</v>
      </c>
      <c r="F13" s="231" t="s">
        <v>469</v>
      </c>
      <c r="G13" s="230" t="s">
        <v>461</v>
      </c>
      <c r="H13" s="230" t="s">
        <v>460</v>
      </c>
      <c r="I13" s="230" t="s">
        <v>470</v>
      </c>
      <c r="J13" s="230" t="s">
        <v>458</v>
      </c>
      <c r="K13" s="230" t="s">
        <v>17</v>
      </c>
    </row>
    <row r="14" spans="1:11" ht="15" customHeight="1" x14ac:dyDescent="0.2">
      <c r="A14" s="101" t="s">
        <v>166</v>
      </c>
      <c r="B14" s="37" t="s">
        <v>167</v>
      </c>
      <c r="C14" s="103">
        <v>310</v>
      </c>
      <c r="D14" s="103" t="s">
        <v>70</v>
      </c>
      <c r="E14" s="122">
        <v>12544209</v>
      </c>
      <c r="F14" s="199">
        <v>0</v>
      </c>
      <c r="G14" s="122">
        <v>12544209</v>
      </c>
      <c r="H14" s="199">
        <v>0</v>
      </c>
      <c r="I14" s="199">
        <v>0</v>
      </c>
      <c r="J14" s="199">
        <v>0</v>
      </c>
      <c r="K14" s="122">
        <v>12544209</v>
      </c>
    </row>
    <row r="15" spans="1:11" ht="15" customHeight="1" x14ac:dyDescent="0.2">
      <c r="A15" s="101" t="s">
        <v>166</v>
      </c>
      <c r="B15" s="37" t="s">
        <v>167</v>
      </c>
      <c r="C15" s="103">
        <v>310</v>
      </c>
      <c r="D15" s="103" t="s">
        <v>73</v>
      </c>
      <c r="E15" s="122">
        <v>14198780</v>
      </c>
      <c r="F15" s="199">
        <v>0</v>
      </c>
      <c r="G15" s="122">
        <v>14198780</v>
      </c>
      <c r="H15" s="199">
        <v>0</v>
      </c>
      <c r="I15" s="199">
        <v>0</v>
      </c>
      <c r="J15" s="199">
        <v>0</v>
      </c>
      <c r="K15" s="122">
        <v>14198780</v>
      </c>
    </row>
    <row r="16" spans="1:11" ht="15" customHeight="1" x14ac:dyDescent="0.2">
      <c r="A16" s="101" t="s">
        <v>166</v>
      </c>
      <c r="B16" s="37" t="s">
        <v>167</v>
      </c>
      <c r="C16" s="103">
        <v>310</v>
      </c>
      <c r="D16" s="103" t="s">
        <v>13</v>
      </c>
      <c r="E16" s="122">
        <v>13229693</v>
      </c>
      <c r="F16" s="199">
        <v>0</v>
      </c>
      <c r="G16" s="122">
        <v>13229693</v>
      </c>
      <c r="H16" s="199">
        <v>0</v>
      </c>
      <c r="I16" s="199">
        <v>0</v>
      </c>
      <c r="J16" s="199">
        <v>0</v>
      </c>
      <c r="K16" s="122">
        <v>13229693</v>
      </c>
    </row>
    <row r="17" spans="1:11" ht="15" customHeight="1" x14ac:dyDescent="0.2">
      <c r="A17" s="101" t="s">
        <v>166</v>
      </c>
      <c r="B17" s="37" t="s">
        <v>167</v>
      </c>
      <c r="C17" s="103">
        <v>310</v>
      </c>
      <c r="D17" s="103" t="s">
        <v>120</v>
      </c>
      <c r="E17" s="122">
        <v>12698670</v>
      </c>
      <c r="F17" s="199">
        <v>0</v>
      </c>
      <c r="G17" s="122">
        <v>12698670</v>
      </c>
      <c r="H17" s="199">
        <v>0</v>
      </c>
      <c r="I17" s="199">
        <v>0</v>
      </c>
      <c r="J17" s="199">
        <v>0</v>
      </c>
      <c r="K17" s="122">
        <v>12698670</v>
      </c>
    </row>
    <row r="18" spans="1:11" ht="15" customHeight="1" x14ac:dyDescent="0.2">
      <c r="A18" s="101" t="s">
        <v>166</v>
      </c>
      <c r="B18" s="37" t="s">
        <v>167</v>
      </c>
      <c r="C18" s="103">
        <v>310</v>
      </c>
      <c r="D18" s="103" t="s">
        <v>131</v>
      </c>
      <c r="E18" s="122">
        <v>11982223</v>
      </c>
      <c r="F18" s="199">
        <v>0</v>
      </c>
      <c r="G18" s="122">
        <v>11982223</v>
      </c>
      <c r="H18" s="199">
        <v>0</v>
      </c>
      <c r="I18" s="199">
        <v>0</v>
      </c>
      <c r="J18" s="199">
        <v>0</v>
      </c>
      <c r="K18" s="122">
        <v>11982223</v>
      </c>
    </row>
    <row r="19" spans="1:11" ht="15" customHeight="1" x14ac:dyDescent="0.2">
      <c r="A19" s="101" t="s">
        <v>166</v>
      </c>
      <c r="B19" s="37" t="s">
        <v>167</v>
      </c>
      <c r="C19" s="103">
        <v>310</v>
      </c>
      <c r="D19" s="103" t="s">
        <v>136</v>
      </c>
      <c r="E19" s="122">
        <v>12218070</v>
      </c>
      <c r="F19" s="199">
        <v>0</v>
      </c>
      <c r="G19" s="122">
        <v>12218070</v>
      </c>
      <c r="H19" s="199">
        <v>0</v>
      </c>
      <c r="I19" s="199">
        <v>0</v>
      </c>
      <c r="J19" s="199">
        <v>0</v>
      </c>
      <c r="K19" s="122">
        <v>12218070</v>
      </c>
    </row>
    <row r="20" spans="1:11" ht="15" customHeight="1" x14ac:dyDescent="0.2">
      <c r="A20" s="101" t="s">
        <v>166</v>
      </c>
      <c r="B20" s="37" t="s">
        <v>167</v>
      </c>
      <c r="C20" s="103">
        <v>310</v>
      </c>
      <c r="D20" s="103" t="s">
        <v>137</v>
      </c>
      <c r="E20" s="122">
        <v>11416468</v>
      </c>
      <c r="F20" s="199">
        <v>0</v>
      </c>
      <c r="G20" s="122">
        <v>11416468</v>
      </c>
      <c r="H20" s="199">
        <v>0</v>
      </c>
      <c r="I20" s="199">
        <v>0</v>
      </c>
      <c r="J20" s="199">
        <v>0</v>
      </c>
      <c r="K20" s="122">
        <v>11416468</v>
      </c>
    </row>
    <row r="21" spans="1:11" ht="15" customHeight="1" x14ac:dyDescent="0.2">
      <c r="A21" s="101" t="s">
        <v>166</v>
      </c>
      <c r="B21" s="37" t="s">
        <v>167</v>
      </c>
      <c r="C21" s="103">
        <v>310</v>
      </c>
      <c r="D21" s="103" t="s">
        <v>138</v>
      </c>
      <c r="E21" s="122">
        <v>11266883</v>
      </c>
      <c r="F21" s="199">
        <v>0</v>
      </c>
      <c r="G21" s="122">
        <v>11266883</v>
      </c>
      <c r="H21" s="199">
        <v>0</v>
      </c>
      <c r="I21" s="199">
        <v>0</v>
      </c>
      <c r="J21" s="199">
        <v>0</v>
      </c>
      <c r="K21" s="122">
        <v>11266883</v>
      </c>
    </row>
    <row r="22" spans="1:11" ht="15" customHeight="1" x14ac:dyDescent="0.2">
      <c r="A22" s="101" t="s">
        <v>166</v>
      </c>
      <c r="B22" s="37" t="s">
        <v>167</v>
      </c>
      <c r="C22" s="103">
        <v>310</v>
      </c>
      <c r="D22" s="103" t="s">
        <v>139</v>
      </c>
      <c r="E22" s="122">
        <v>10516992</v>
      </c>
      <c r="F22" s="199">
        <v>0</v>
      </c>
      <c r="G22" s="122">
        <v>10516992</v>
      </c>
      <c r="H22" s="199">
        <v>0</v>
      </c>
      <c r="I22" s="199">
        <v>0</v>
      </c>
      <c r="J22" s="199">
        <v>0</v>
      </c>
      <c r="K22" s="122">
        <v>10516992</v>
      </c>
    </row>
    <row r="23" spans="1:11" ht="15" customHeight="1" x14ac:dyDescent="0.2">
      <c r="A23" s="101" t="s">
        <v>166</v>
      </c>
      <c r="B23" s="37" t="s">
        <v>167</v>
      </c>
      <c r="C23" s="103">
        <v>310</v>
      </c>
      <c r="D23" s="103" t="s">
        <v>140</v>
      </c>
      <c r="E23" s="122">
        <v>9633520</v>
      </c>
      <c r="F23" s="199">
        <v>0</v>
      </c>
      <c r="G23" s="122">
        <v>9633520</v>
      </c>
      <c r="H23" s="199">
        <v>0</v>
      </c>
      <c r="I23" s="199">
        <v>0</v>
      </c>
      <c r="J23" s="199">
        <v>0</v>
      </c>
      <c r="K23" s="122">
        <v>9633520</v>
      </c>
    </row>
    <row r="24" spans="1:11" ht="15" customHeight="1" x14ac:dyDescent="0.2">
      <c r="A24" s="101" t="s">
        <v>166</v>
      </c>
      <c r="B24" s="37" t="s">
        <v>167</v>
      </c>
      <c r="C24" s="103">
        <v>310</v>
      </c>
      <c r="D24" s="103" t="s">
        <v>141</v>
      </c>
      <c r="E24" s="122">
        <v>9188449</v>
      </c>
      <c r="F24" s="199">
        <v>0</v>
      </c>
      <c r="G24" s="122">
        <v>9188449</v>
      </c>
      <c r="H24" s="199">
        <v>0</v>
      </c>
      <c r="I24" s="199">
        <v>0</v>
      </c>
      <c r="J24" s="199">
        <v>0</v>
      </c>
      <c r="K24" s="122">
        <v>9188449</v>
      </c>
    </row>
    <row r="25" spans="1:11" s="229" customFormat="1" ht="15" customHeight="1" x14ac:dyDescent="0.2">
      <c r="A25" s="206" t="s">
        <v>410</v>
      </c>
      <c r="B25" s="115" t="s">
        <v>457</v>
      </c>
      <c r="C25" s="115" t="s">
        <v>457</v>
      </c>
      <c r="D25" s="115" t="s">
        <v>457</v>
      </c>
      <c r="E25" s="117">
        <f>SUBTOTAL(109,local310[Program
Costs])</f>
        <v>128893957</v>
      </c>
      <c r="F25" s="204">
        <f>SUBTOTAL(109,local310[Less: Net
Payments 
and Offsets])</f>
        <v>0</v>
      </c>
      <c r="G25" s="117">
        <f>SUBTOTAL(109,local310[Accounts Payable
Balance])</f>
        <v>128893957</v>
      </c>
      <c r="H25" s="204">
        <f>SUBTOTAL(109,local310[Established
Accounts Receivable])</f>
        <v>0</v>
      </c>
      <c r="I25" s="204">
        <f>SUBTOTAL(109,local310[Less:
 Recovered
Amount])</f>
        <v>0</v>
      </c>
      <c r="J25" s="204">
        <f>SUBTOTAL(109,local310[Accounts Receivable
Balance])</f>
        <v>0</v>
      </c>
      <c r="K25" s="117">
        <f>SUBTOTAL(109,local310[Net
Balance])</f>
        <v>128893957</v>
      </c>
    </row>
    <row r="26" spans="1:11" ht="15.75" customHeight="1" x14ac:dyDescent="0.2">
      <c r="A26" s="296" t="s">
        <v>463</v>
      </c>
      <c r="B26" s="103"/>
      <c r="C26" s="130"/>
      <c r="D26" s="103"/>
      <c r="E26" s="297"/>
      <c r="F26" s="298"/>
      <c r="G26" s="297"/>
      <c r="H26" s="298"/>
      <c r="I26" s="298"/>
      <c r="J26" s="298"/>
      <c r="K26" s="297"/>
    </row>
    <row r="27" spans="1:11" ht="62.1" customHeight="1" x14ac:dyDescent="0.2">
      <c r="A27" s="40" t="s">
        <v>15</v>
      </c>
      <c r="B27" s="40" t="s">
        <v>16</v>
      </c>
      <c r="C27" s="40" t="s">
        <v>468</v>
      </c>
      <c r="D27" s="40" t="s">
        <v>1</v>
      </c>
      <c r="E27" s="230" t="s">
        <v>3</v>
      </c>
      <c r="F27" s="231" t="s">
        <v>469</v>
      </c>
      <c r="G27" s="230" t="s">
        <v>461</v>
      </c>
      <c r="H27" s="230" t="s">
        <v>460</v>
      </c>
      <c r="I27" s="230" t="s">
        <v>470</v>
      </c>
      <c r="J27" s="230" t="s">
        <v>458</v>
      </c>
      <c r="K27" s="230" t="s">
        <v>17</v>
      </c>
    </row>
    <row r="28" spans="1:11" ht="15" customHeight="1" x14ac:dyDescent="0.2">
      <c r="A28" s="198" t="s">
        <v>168</v>
      </c>
      <c r="B28" s="37" t="s">
        <v>169</v>
      </c>
      <c r="C28" s="103">
        <v>306</v>
      </c>
      <c r="D28" s="103" t="s">
        <v>73</v>
      </c>
      <c r="E28" s="122">
        <v>57816</v>
      </c>
      <c r="F28" s="199">
        <v>0</v>
      </c>
      <c r="G28" s="122">
        <v>57816</v>
      </c>
      <c r="H28" s="199">
        <v>0</v>
      </c>
      <c r="I28" s="199">
        <v>0</v>
      </c>
      <c r="J28" s="199">
        <v>0</v>
      </c>
      <c r="K28" s="122">
        <v>57816</v>
      </c>
    </row>
    <row r="29" spans="1:11" ht="15" customHeight="1" x14ac:dyDescent="0.2">
      <c r="A29" s="198" t="s">
        <v>168</v>
      </c>
      <c r="B29" s="37" t="s">
        <v>169</v>
      </c>
      <c r="C29" s="103">
        <v>306</v>
      </c>
      <c r="D29" s="103" t="s">
        <v>13</v>
      </c>
      <c r="E29" s="122">
        <v>297792</v>
      </c>
      <c r="F29" s="199">
        <v>0</v>
      </c>
      <c r="G29" s="122">
        <v>297792</v>
      </c>
      <c r="H29" s="199">
        <v>0</v>
      </c>
      <c r="I29" s="199">
        <v>0</v>
      </c>
      <c r="J29" s="199">
        <v>0</v>
      </c>
      <c r="K29" s="122">
        <v>297792</v>
      </c>
    </row>
    <row r="30" spans="1:11" ht="15" customHeight="1" x14ac:dyDescent="0.2">
      <c r="A30" s="198" t="s">
        <v>168</v>
      </c>
      <c r="B30" s="37" t="s">
        <v>169</v>
      </c>
      <c r="C30" s="103">
        <v>306</v>
      </c>
      <c r="D30" s="103" t="s">
        <v>120</v>
      </c>
      <c r="E30" s="122">
        <v>263698</v>
      </c>
      <c r="F30" s="199">
        <v>0</v>
      </c>
      <c r="G30" s="122">
        <v>263698</v>
      </c>
      <c r="H30" s="199">
        <v>0</v>
      </c>
      <c r="I30" s="199">
        <v>0</v>
      </c>
      <c r="J30" s="199">
        <v>0</v>
      </c>
      <c r="K30" s="122">
        <v>263698</v>
      </c>
    </row>
    <row r="31" spans="1:11" ht="15" customHeight="1" x14ac:dyDescent="0.2">
      <c r="A31" s="198" t="s">
        <v>168</v>
      </c>
      <c r="B31" s="37" t="s">
        <v>169</v>
      </c>
      <c r="C31" s="103">
        <v>306</v>
      </c>
      <c r="D31" s="103" t="s">
        <v>131</v>
      </c>
      <c r="E31" s="122">
        <v>275387</v>
      </c>
      <c r="F31" s="199">
        <v>0</v>
      </c>
      <c r="G31" s="122">
        <v>275387</v>
      </c>
      <c r="H31" s="199">
        <v>0</v>
      </c>
      <c r="I31" s="199">
        <v>0</v>
      </c>
      <c r="J31" s="199">
        <v>0</v>
      </c>
      <c r="K31" s="122">
        <v>275387</v>
      </c>
    </row>
    <row r="32" spans="1:11" ht="15" customHeight="1" x14ac:dyDescent="0.2">
      <c r="A32" s="198" t="s">
        <v>168</v>
      </c>
      <c r="B32" s="37" t="s">
        <v>169</v>
      </c>
      <c r="C32" s="103">
        <v>306</v>
      </c>
      <c r="D32" s="103" t="s">
        <v>136</v>
      </c>
      <c r="E32" s="122">
        <v>253715</v>
      </c>
      <c r="F32" s="199">
        <v>0</v>
      </c>
      <c r="G32" s="122">
        <v>253715</v>
      </c>
      <c r="H32" s="199">
        <v>0</v>
      </c>
      <c r="I32" s="199">
        <v>0</v>
      </c>
      <c r="J32" s="199">
        <v>0</v>
      </c>
      <c r="K32" s="122">
        <v>253715</v>
      </c>
    </row>
    <row r="33" spans="1:11" ht="15" customHeight="1" x14ac:dyDescent="0.2">
      <c r="A33" s="198" t="s">
        <v>168</v>
      </c>
      <c r="B33" s="37" t="s">
        <v>169</v>
      </c>
      <c r="C33" s="103">
        <v>306</v>
      </c>
      <c r="D33" s="103" t="s">
        <v>137</v>
      </c>
      <c r="E33" s="122">
        <v>228442</v>
      </c>
      <c r="F33" s="199">
        <v>0</v>
      </c>
      <c r="G33" s="122">
        <v>228442</v>
      </c>
      <c r="H33" s="199">
        <v>0</v>
      </c>
      <c r="I33" s="199">
        <v>0</v>
      </c>
      <c r="J33" s="199">
        <v>0</v>
      </c>
      <c r="K33" s="122">
        <v>228442</v>
      </c>
    </row>
    <row r="34" spans="1:11" ht="15" customHeight="1" x14ac:dyDescent="0.2">
      <c r="A34" s="198" t="s">
        <v>168</v>
      </c>
      <c r="B34" s="37" t="s">
        <v>169</v>
      </c>
      <c r="C34" s="103">
        <v>306</v>
      </c>
      <c r="D34" s="103" t="s">
        <v>138</v>
      </c>
      <c r="E34" s="122">
        <v>222536</v>
      </c>
      <c r="F34" s="199">
        <v>0</v>
      </c>
      <c r="G34" s="122">
        <v>222536</v>
      </c>
      <c r="H34" s="199">
        <v>0</v>
      </c>
      <c r="I34" s="199">
        <v>0</v>
      </c>
      <c r="J34" s="199">
        <v>0</v>
      </c>
      <c r="K34" s="122">
        <v>222536</v>
      </c>
    </row>
    <row r="35" spans="1:11" ht="15" customHeight="1" x14ac:dyDescent="0.2">
      <c r="A35" s="198" t="s">
        <v>168</v>
      </c>
      <c r="B35" s="37" t="s">
        <v>169</v>
      </c>
      <c r="C35" s="103">
        <v>306</v>
      </c>
      <c r="D35" s="103" t="s">
        <v>139</v>
      </c>
      <c r="E35" s="122">
        <v>198432</v>
      </c>
      <c r="F35" s="199">
        <v>0</v>
      </c>
      <c r="G35" s="122">
        <v>198432</v>
      </c>
      <c r="H35" s="199">
        <v>0</v>
      </c>
      <c r="I35" s="199">
        <v>0</v>
      </c>
      <c r="J35" s="199">
        <v>0</v>
      </c>
      <c r="K35" s="122">
        <v>198432</v>
      </c>
    </row>
    <row r="36" spans="1:11" ht="15" customHeight="1" x14ac:dyDescent="0.2">
      <c r="A36" s="198" t="s">
        <v>168</v>
      </c>
      <c r="B36" s="37" t="s">
        <v>169</v>
      </c>
      <c r="C36" s="103">
        <v>306</v>
      </c>
      <c r="D36" s="103" t="s">
        <v>140</v>
      </c>
      <c r="E36" s="122">
        <v>159800</v>
      </c>
      <c r="F36" s="199">
        <v>0</v>
      </c>
      <c r="G36" s="122">
        <v>159800</v>
      </c>
      <c r="H36" s="199">
        <v>0</v>
      </c>
      <c r="I36" s="199">
        <v>0</v>
      </c>
      <c r="J36" s="199">
        <v>0</v>
      </c>
      <c r="K36" s="122">
        <v>159800</v>
      </c>
    </row>
    <row r="37" spans="1:11" s="229" customFormat="1" ht="15" customHeight="1" x14ac:dyDescent="0.2">
      <c r="A37" s="198" t="s">
        <v>168</v>
      </c>
      <c r="B37" s="37" t="s">
        <v>169</v>
      </c>
      <c r="C37" s="103">
        <v>306</v>
      </c>
      <c r="D37" s="103" t="s">
        <v>141</v>
      </c>
      <c r="E37" s="122">
        <v>51990</v>
      </c>
      <c r="F37" s="199">
        <v>0</v>
      </c>
      <c r="G37" s="122">
        <v>51990</v>
      </c>
      <c r="H37" s="199">
        <v>0</v>
      </c>
      <c r="I37" s="199">
        <v>0</v>
      </c>
      <c r="J37" s="199">
        <v>0</v>
      </c>
      <c r="K37" s="122">
        <v>51990</v>
      </c>
    </row>
    <row r="38" spans="1:11" ht="15" customHeight="1" x14ac:dyDescent="0.2">
      <c r="A38" s="79" t="s">
        <v>411</v>
      </c>
      <c r="B38" s="115" t="s">
        <v>457</v>
      </c>
      <c r="C38" s="115" t="s">
        <v>457</v>
      </c>
      <c r="D38" s="115" t="s">
        <v>457</v>
      </c>
      <c r="E38" s="117">
        <f>SUBTOTAL(109,local306[Program
Costs])</f>
        <v>2009608</v>
      </c>
      <c r="F38" s="204">
        <f>SUBTOTAL(109,local306[Less: Net
Payments 
and Offsets])</f>
        <v>0</v>
      </c>
      <c r="G38" s="117">
        <f>SUBTOTAL(109,local306[Accounts Payable
Balance])</f>
        <v>2009608</v>
      </c>
      <c r="H38" s="204">
        <f>SUBTOTAL(109,local306[Established
Accounts Receivable])</f>
        <v>0</v>
      </c>
      <c r="I38" s="204">
        <f>SUBTOTAL(109,local306[Less:
 Recovered
Amount])</f>
        <v>0</v>
      </c>
      <c r="J38" s="204">
        <f>SUBTOTAL(109,local306[Accounts Receivable
Balance])</f>
        <v>0</v>
      </c>
      <c r="K38" s="117">
        <f>SUBTOTAL(109,local306[Net
Balance])</f>
        <v>2009608</v>
      </c>
    </row>
    <row r="39" spans="1:11" ht="15.75" customHeight="1" x14ac:dyDescent="0.2">
      <c r="A39" s="296" t="s">
        <v>463</v>
      </c>
      <c r="B39" s="103"/>
      <c r="C39" s="130"/>
      <c r="D39" s="103"/>
      <c r="E39" s="297"/>
      <c r="F39" s="298"/>
      <c r="G39" s="297"/>
      <c r="H39" s="298"/>
      <c r="I39" s="298"/>
      <c r="J39" s="298"/>
      <c r="K39" s="297"/>
    </row>
    <row r="40" spans="1:11" ht="62.1" customHeight="1" x14ac:dyDescent="0.2">
      <c r="A40" s="40" t="s">
        <v>15</v>
      </c>
      <c r="B40" s="40" t="s">
        <v>16</v>
      </c>
      <c r="C40" s="40" t="s">
        <v>468</v>
      </c>
      <c r="D40" s="40" t="s">
        <v>1</v>
      </c>
      <c r="E40" s="230" t="s">
        <v>3</v>
      </c>
      <c r="F40" s="231" t="s">
        <v>469</v>
      </c>
      <c r="G40" s="230" t="s">
        <v>461</v>
      </c>
      <c r="H40" s="230" t="s">
        <v>460</v>
      </c>
      <c r="I40" s="230" t="s">
        <v>470</v>
      </c>
      <c r="J40" s="230" t="s">
        <v>458</v>
      </c>
      <c r="K40" s="230" t="s">
        <v>17</v>
      </c>
    </row>
    <row r="41" spans="1:11" ht="15" customHeight="1" x14ac:dyDescent="0.2">
      <c r="A41" s="198" t="s">
        <v>170</v>
      </c>
      <c r="B41" s="37" t="s">
        <v>171</v>
      </c>
      <c r="C41" s="103">
        <v>322</v>
      </c>
      <c r="D41" s="103" t="s">
        <v>69</v>
      </c>
      <c r="E41" s="122">
        <v>1007989</v>
      </c>
      <c r="F41" s="199">
        <v>0</v>
      </c>
      <c r="G41" s="122">
        <v>1007989</v>
      </c>
      <c r="H41" s="199">
        <v>0</v>
      </c>
      <c r="I41" s="199">
        <v>0</v>
      </c>
      <c r="J41" s="199">
        <v>0</v>
      </c>
      <c r="K41" s="122">
        <v>1007989</v>
      </c>
    </row>
    <row r="42" spans="1:11" ht="15" customHeight="1" x14ac:dyDescent="0.2">
      <c r="A42" s="198" t="s">
        <v>170</v>
      </c>
      <c r="B42" s="37" t="s">
        <v>171</v>
      </c>
      <c r="C42" s="103">
        <v>322</v>
      </c>
      <c r="D42" s="103" t="s">
        <v>70</v>
      </c>
      <c r="E42" s="122">
        <v>1255634</v>
      </c>
      <c r="F42" s="199">
        <v>0</v>
      </c>
      <c r="G42" s="122">
        <v>1255634</v>
      </c>
      <c r="H42" s="199">
        <v>0</v>
      </c>
      <c r="I42" s="199">
        <v>0</v>
      </c>
      <c r="J42" s="199">
        <v>0</v>
      </c>
      <c r="K42" s="122">
        <v>1255634</v>
      </c>
    </row>
    <row r="43" spans="1:11" ht="15" customHeight="1" x14ac:dyDescent="0.2">
      <c r="A43" s="198" t="s">
        <v>170</v>
      </c>
      <c r="B43" s="37" t="s">
        <v>171</v>
      </c>
      <c r="C43" s="103">
        <v>322</v>
      </c>
      <c r="D43" s="103" t="s">
        <v>73</v>
      </c>
      <c r="E43" s="122">
        <v>1272627</v>
      </c>
      <c r="F43" s="199">
        <v>0</v>
      </c>
      <c r="G43" s="122">
        <v>1272627</v>
      </c>
      <c r="H43" s="199">
        <v>0</v>
      </c>
      <c r="I43" s="199">
        <v>0</v>
      </c>
      <c r="J43" s="199">
        <v>0</v>
      </c>
      <c r="K43" s="122">
        <v>1272627</v>
      </c>
    </row>
    <row r="44" spans="1:11" ht="15" customHeight="1" x14ac:dyDescent="0.2">
      <c r="A44" s="198" t="s">
        <v>170</v>
      </c>
      <c r="B44" s="37" t="s">
        <v>171</v>
      </c>
      <c r="C44" s="103">
        <v>322</v>
      </c>
      <c r="D44" s="103" t="s">
        <v>13</v>
      </c>
      <c r="E44" s="122">
        <v>1083952</v>
      </c>
      <c r="F44" s="199">
        <v>0</v>
      </c>
      <c r="G44" s="122">
        <v>1083952</v>
      </c>
      <c r="H44" s="199">
        <v>0</v>
      </c>
      <c r="I44" s="199">
        <v>0</v>
      </c>
      <c r="J44" s="199">
        <v>0</v>
      </c>
      <c r="K44" s="122">
        <v>1083952</v>
      </c>
    </row>
    <row r="45" spans="1:11" ht="15" customHeight="1" x14ac:dyDescent="0.2">
      <c r="A45" s="198" t="s">
        <v>170</v>
      </c>
      <c r="B45" s="37" t="s">
        <v>171</v>
      </c>
      <c r="C45" s="103">
        <v>322</v>
      </c>
      <c r="D45" s="103" t="s">
        <v>120</v>
      </c>
      <c r="E45" s="122">
        <v>1106027</v>
      </c>
      <c r="F45" s="199">
        <v>0</v>
      </c>
      <c r="G45" s="122">
        <v>1106027</v>
      </c>
      <c r="H45" s="199">
        <v>0</v>
      </c>
      <c r="I45" s="199">
        <v>0</v>
      </c>
      <c r="J45" s="199">
        <v>0</v>
      </c>
      <c r="K45" s="122">
        <v>1106027</v>
      </c>
    </row>
    <row r="46" spans="1:11" ht="15" customHeight="1" x14ac:dyDescent="0.2">
      <c r="A46" s="198" t="s">
        <v>170</v>
      </c>
      <c r="B46" s="37" t="s">
        <v>171</v>
      </c>
      <c r="C46" s="103">
        <v>322</v>
      </c>
      <c r="D46" s="103" t="s">
        <v>131</v>
      </c>
      <c r="E46" s="122">
        <v>1058326</v>
      </c>
      <c r="F46" s="199">
        <v>0</v>
      </c>
      <c r="G46" s="122">
        <v>1058326</v>
      </c>
      <c r="H46" s="199">
        <v>0</v>
      </c>
      <c r="I46" s="199">
        <v>0</v>
      </c>
      <c r="J46" s="199">
        <v>0</v>
      </c>
      <c r="K46" s="122">
        <v>1058326</v>
      </c>
    </row>
    <row r="47" spans="1:11" ht="15" customHeight="1" x14ac:dyDescent="0.2">
      <c r="A47" s="198" t="s">
        <v>170</v>
      </c>
      <c r="B47" s="37" t="s">
        <v>171</v>
      </c>
      <c r="C47" s="103">
        <v>322</v>
      </c>
      <c r="D47" s="103" t="s">
        <v>136</v>
      </c>
      <c r="E47" s="122">
        <v>983574</v>
      </c>
      <c r="F47" s="199">
        <v>0</v>
      </c>
      <c r="G47" s="122">
        <v>983574</v>
      </c>
      <c r="H47" s="199">
        <v>0</v>
      </c>
      <c r="I47" s="199">
        <v>0</v>
      </c>
      <c r="J47" s="199">
        <v>0</v>
      </c>
      <c r="K47" s="122">
        <v>983574</v>
      </c>
    </row>
    <row r="48" spans="1:11" ht="15" customHeight="1" x14ac:dyDescent="0.2">
      <c r="A48" s="198" t="s">
        <v>170</v>
      </c>
      <c r="B48" s="37" t="s">
        <v>171</v>
      </c>
      <c r="C48" s="103">
        <v>322</v>
      </c>
      <c r="D48" s="103" t="s">
        <v>137</v>
      </c>
      <c r="E48" s="122">
        <v>963520</v>
      </c>
      <c r="F48" s="199">
        <v>0</v>
      </c>
      <c r="G48" s="122">
        <v>963520</v>
      </c>
      <c r="H48" s="199">
        <v>0</v>
      </c>
      <c r="I48" s="199">
        <v>0</v>
      </c>
      <c r="J48" s="199">
        <v>0</v>
      </c>
      <c r="K48" s="122">
        <v>963520</v>
      </c>
    </row>
    <row r="49" spans="1:11" ht="15" customHeight="1" x14ac:dyDescent="0.2">
      <c r="A49" s="198" t="s">
        <v>170</v>
      </c>
      <c r="B49" s="37" t="s">
        <v>171</v>
      </c>
      <c r="C49" s="103">
        <v>322</v>
      </c>
      <c r="D49" s="103" t="s">
        <v>138</v>
      </c>
      <c r="E49" s="122">
        <v>902976</v>
      </c>
      <c r="F49" s="199">
        <v>0</v>
      </c>
      <c r="G49" s="122">
        <v>902976</v>
      </c>
      <c r="H49" s="199">
        <v>0</v>
      </c>
      <c r="I49" s="199">
        <v>0</v>
      </c>
      <c r="J49" s="199">
        <v>0</v>
      </c>
      <c r="K49" s="122">
        <v>902976</v>
      </c>
    </row>
    <row r="50" spans="1:11" ht="15" customHeight="1" x14ac:dyDescent="0.2">
      <c r="A50" s="198" t="s">
        <v>170</v>
      </c>
      <c r="B50" s="37" t="s">
        <v>171</v>
      </c>
      <c r="C50" s="103">
        <v>322</v>
      </c>
      <c r="D50" s="103" t="s">
        <v>139</v>
      </c>
      <c r="E50" s="122">
        <v>947582</v>
      </c>
      <c r="F50" s="199">
        <v>0</v>
      </c>
      <c r="G50" s="122">
        <v>947582</v>
      </c>
      <c r="H50" s="199">
        <v>0</v>
      </c>
      <c r="I50" s="199">
        <v>0</v>
      </c>
      <c r="J50" s="199">
        <v>0</v>
      </c>
      <c r="K50" s="122">
        <v>947582</v>
      </c>
    </row>
    <row r="51" spans="1:11" s="229" customFormat="1" ht="15" customHeight="1" x14ac:dyDescent="0.2">
      <c r="A51" s="198" t="s">
        <v>170</v>
      </c>
      <c r="B51" s="37" t="s">
        <v>171</v>
      </c>
      <c r="C51" s="103">
        <v>322</v>
      </c>
      <c r="D51" s="103" t="s">
        <v>140</v>
      </c>
      <c r="E51" s="122">
        <v>876657</v>
      </c>
      <c r="F51" s="199">
        <v>0</v>
      </c>
      <c r="G51" s="122">
        <v>876657</v>
      </c>
      <c r="H51" s="199">
        <v>0</v>
      </c>
      <c r="I51" s="199">
        <v>0</v>
      </c>
      <c r="J51" s="199">
        <v>0</v>
      </c>
      <c r="K51" s="122">
        <v>876657</v>
      </c>
    </row>
    <row r="52" spans="1:11" ht="15" customHeight="1" x14ac:dyDescent="0.2">
      <c r="A52" s="198" t="s">
        <v>170</v>
      </c>
      <c r="B52" s="37" t="s">
        <v>171</v>
      </c>
      <c r="C52" s="103">
        <v>322</v>
      </c>
      <c r="D52" s="103" t="s">
        <v>141</v>
      </c>
      <c r="E52" s="122">
        <v>468430</v>
      </c>
      <c r="F52" s="199">
        <v>0</v>
      </c>
      <c r="G52" s="122">
        <v>468430</v>
      </c>
      <c r="H52" s="199">
        <v>0</v>
      </c>
      <c r="I52" s="199">
        <v>0</v>
      </c>
      <c r="J52" s="199">
        <v>0</v>
      </c>
      <c r="K52" s="122">
        <v>468430</v>
      </c>
    </row>
    <row r="53" spans="1:11" ht="15" customHeight="1" x14ac:dyDescent="0.2">
      <c r="A53" s="79" t="s">
        <v>412</v>
      </c>
      <c r="B53" s="115" t="s">
        <v>457</v>
      </c>
      <c r="C53" s="115" t="s">
        <v>457</v>
      </c>
      <c r="D53" s="115" t="s">
        <v>457</v>
      </c>
      <c r="E53" s="117">
        <f>SUBTOTAL(109,local322[Program
Costs])</f>
        <v>11927294</v>
      </c>
      <c r="F53" s="204">
        <f>SUBTOTAL(109,local322[Less: Net
Payments 
and Offsets])</f>
        <v>0</v>
      </c>
      <c r="G53" s="117">
        <f>SUBTOTAL(109,local322[Accounts Payable
Balance])</f>
        <v>11927294</v>
      </c>
      <c r="H53" s="204">
        <f>SUBTOTAL(109,local322[Established
Accounts Receivable])</f>
        <v>0</v>
      </c>
      <c r="I53" s="204">
        <f>SUBTOTAL(109,local322[Less:
 Recovered
Amount])</f>
        <v>0</v>
      </c>
      <c r="J53" s="204">
        <f>SUBTOTAL(109,local322[Accounts Receivable
Balance])</f>
        <v>0</v>
      </c>
      <c r="K53" s="117">
        <f>SUBTOTAL(109,local322[Net
Balance])</f>
        <v>11927294</v>
      </c>
    </row>
    <row r="54" spans="1:11" ht="15.75" customHeight="1" x14ac:dyDescent="0.2">
      <c r="A54" s="296" t="s">
        <v>463</v>
      </c>
      <c r="B54" s="103"/>
      <c r="C54" s="130"/>
      <c r="D54" s="103"/>
      <c r="E54" s="297"/>
      <c r="F54" s="298"/>
      <c r="G54" s="297"/>
      <c r="H54" s="298"/>
      <c r="I54" s="298"/>
      <c r="J54" s="298"/>
      <c r="K54" s="297"/>
    </row>
    <row r="55" spans="1:11" ht="62.1" customHeight="1" x14ac:dyDescent="0.2">
      <c r="A55" s="40" t="s">
        <v>15</v>
      </c>
      <c r="B55" s="40" t="s">
        <v>16</v>
      </c>
      <c r="C55" s="40" t="s">
        <v>468</v>
      </c>
      <c r="D55" s="40" t="s">
        <v>1</v>
      </c>
      <c r="E55" s="230" t="s">
        <v>3</v>
      </c>
      <c r="F55" s="231" t="s">
        <v>469</v>
      </c>
      <c r="G55" s="230" t="s">
        <v>461</v>
      </c>
      <c r="H55" s="230" t="s">
        <v>460</v>
      </c>
      <c r="I55" s="230" t="s">
        <v>470</v>
      </c>
      <c r="J55" s="230" t="s">
        <v>458</v>
      </c>
      <c r="K55" s="230" t="s">
        <v>17</v>
      </c>
    </row>
    <row r="56" spans="1:11" ht="15" customHeight="1" x14ac:dyDescent="0.2">
      <c r="A56" s="198" t="s">
        <v>172</v>
      </c>
      <c r="B56" s="37" t="s">
        <v>173</v>
      </c>
      <c r="C56" s="103">
        <v>293</v>
      </c>
      <c r="D56" s="103" t="s">
        <v>13</v>
      </c>
      <c r="E56" s="122">
        <v>4732</v>
      </c>
      <c r="F56" s="199">
        <v>0</v>
      </c>
      <c r="G56" s="122">
        <v>4732</v>
      </c>
      <c r="H56" s="199">
        <v>0</v>
      </c>
      <c r="I56" s="199">
        <v>0</v>
      </c>
      <c r="J56" s="199">
        <v>0</v>
      </c>
      <c r="K56" s="122">
        <v>4732</v>
      </c>
    </row>
    <row r="57" spans="1:11" ht="15" customHeight="1" x14ac:dyDescent="0.2">
      <c r="A57" s="198" t="s">
        <v>172</v>
      </c>
      <c r="B57" s="37" t="s">
        <v>173</v>
      </c>
      <c r="C57" s="103">
        <v>293</v>
      </c>
      <c r="D57" s="103" t="s">
        <v>120</v>
      </c>
      <c r="E57" s="122">
        <v>31906</v>
      </c>
      <c r="F57" s="199">
        <v>0</v>
      </c>
      <c r="G57" s="122">
        <v>31906</v>
      </c>
      <c r="H57" s="199">
        <v>0</v>
      </c>
      <c r="I57" s="199">
        <v>0</v>
      </c>
      <c r="J57" s="199">
        <v>0</v>
      </c>
      <c r="K57" s="122">
        <v>31906</v>
      </c>
    </row>
    <row r="58" spans="1:11" ht="15" customHeight="1" x14ac:dyDescent="0.2">
      <c r="A58" s="198" t="s">
        <v>172</v>
      </c>
      <c r="B58" s="37" t="s">
        <v>173</v>
      </c>
      <c r="C58" s="103">
        <v>293</v>
      </c>
      <c r="D58" s="103" t="s">
        <v>131</v>
      </c>
      <c r="E58" s="122">
        <v>27775</v>
      </c>
      <c r="F58" s="199">
        <v>0</v>
      </c>
      <c r="G58" s="122">
        <v>27775</v>
      </c>
      <c r="H58" s="199">
        <v>0</v>
      </c>
      <c r="I58" s="199">
        <v>0</v>
      </c>
      <c r="J58" s="199">
        <v>0</v>
      </c>
      <c r="K58" s="122">
        <v>27775</v>
      </c>
    </row>
    <row r="59" spans="1:11" ht="15" customHeight="1" x14ac:dyDescent="0.2">
      <c r="A59" s="198" t="s">
        <v>172</v>
      </c>
      <c r="B59" s="37" t="s">
        <v>173</v>
      </c>
      <c r="C59" s="103">
        <v>293</v>
      </c>
      <c r="D59" s="103" t="s">
        <v>136</v>
      </c>
      <c r="E59" s="122">
        <v>17343</v>
      </c>
      <c r="F59" s="199">
        <v>0</v>
      </c>
      <c r="G59" s="122">
        <v>17343</v>
      </c>
      <c r="H59" s="199">
        <v>0</v>
      </c>
      <c r="I59" s="199">
        <v>0</v>
      </c>
      <c r="J59" s="199">
        <v>0</v>
      </c>
      <c r="K59" s="122">
        <v>17343</v>
      </c>
    </row>
    <row r="60" spans="1:11" ht="15" customHeight="1" x14ac:dyDescent="0.2">
      <c r="A60" s="198" t="s">
        <v>172</v>
      </c>
      <c r="B60" s="37" t="s">
        <v>173</v>
      </c>
      <c r="C60" s="103">
        <v>293</v>
      </c>
      <c r="D60" s="103" t="s">
        <v>137</v>
      </c>
      <c r="E60" s="122">
        <v>14818</v>
      </c>
      <c r="F60" s="199">
        <v>0</v>
      </c>
      <c r="G60" s="122">
        <v>14818</v>
      </c>
      <c r="H60" s="199">
        <v>0</v>
      </c>
      <c r="I60" s="199">
        <v>0</v>
      </c>
      <c r="J60" s="199">
        <v>0</v>
      </c>
      <c r="K60" s="122">
        <v>14818</v>
      </c>
    </row>
    <row r="61" spans="1:11" ht="15" customHeight="1" x14ac:dyDescent="0.2">
      <c r="A61" s="198" t="s">
        <v>172</v>
      </c>
      <c r="B61" s="37" t="s">
        <v>173</v>
      </c>
      <c r="C61" s="103">
        <v>293</v>
      </c>
      <c r="D61" s="103" t="s">
        <v>138</v>
      </c>
      <c r="E61" s="122">
        <v>9385</v>
      </c>
      <c r="F61" s="199">
        <v>0</v>
      </c>
      <c r="G61" s="122">
        <v>9385</v>
      </c>
      <c r="H61" s="199">
        <v>0</v>
      </c>
      <c r="I61" s="199">
        <v>0</v>
      </c>
      <c r="J61" s="199">
        <v>0</v>
      </c>
      <c r="K61" s="122">
        <v>9385</v>
      </c>
    </row>
    <row r="62" spans="1:11" ht="15" customHeight="1" x14ac:dyDescent="0.2">
      <c r="A62" s="198" t="s">
        <v>172</v>
      </c>
      <c r="B62" s="37" t="s">
        <v>173</v>
      </c>
      <c r="C62" s="103">
        <v>293</v>
      </c>
      <c r="D62" s="103" t="s">
        <v>139</v>
      </c>
      <c r="E62" s="122">
        <v>10431</v>
      </c>
      <c r="F62" s="199">
        <v>0</v>
      </c>
      <c r="G62" s="122">
        <v>10431</v>
      </c>
      <c r="H62" s="199">
        <v>0</v>
      </c>
      <c r="I62" s="199">
        <v>0</v>
      </c>
      <c r="J62" s="199">
        <v>0</v>
      </c>
      <c r="K62" s="122">
        <v>10431</v>
      </c>
    </row>
    <row r="63" spans="1:11" s="229" customFormat="1" ht="15" customHeight="1" x14ac:dyDescent="0.2">
      <c r="A63" s="198" t="s">
        <v>172</v>
      </c>
      <c r="B63" s="37" t="s">
        <v>173</v>
      </c>
      <c r="C63" s="103">
        <v>293</v>
      </c>
      <c r="D63" s="103" t="s">
        <v>140</v>
      </c>
      <c r="E63" s="122">
        <v>12410</v>
      </c>
      <c r="F63" s="199">
        <v>0</v>
      </c>
      <c r="G63" s="122">
        <v>12410</v>
      </c>
      <c r="H63" s="199">
        <v>0</v>
      </c>
      <c r="I63" s="199">
        <v>0</v>
      </c>
      <c r="J63" s="199">
        <v>0</v>
      </c>
      <c r="K63" s="122">
        <v>12410</v>
      </c>
    </row>
    <row r="64" spans="1:11" ht="15" customHeight="1" x14ac:dyDescent="0.2">
      <c r="A64" s="198" t="s">
        <v>172</v>
      </c>
      <c r="B64" s="37" t="s">
        <v>173</v>
      </c>
      <c r="C64" s="103">
        <v>293</v>
      </c>
      <c r="D64" s="103" t="s">
        <v>141</v>
      </c>
      <c r="E64" s="122">
        <v>15208</v>
      </c>
      <c r="F64" s="199">
        <v>0</v>
      </c>
      <c r="G64" s="122">
        <v>15208</v>
      </c>
      <c r="H64" s="199">
        <v>0</v>
      </c>
      <c r="I64" s="199">
        <v>0</v>
      </c>
      <c r="J64" s="199">
        <v>0</v>
      </c>
      <c r="K64" s="122">
        <v>15208</v>
      </c>
    </row>
    <row r="65" spans="1:11" ht="15" customHeight="1" x14ac:dyDescent="0.2">
      <c r="A65" s="198" t="s">
        <v>172</v>
      </c>
      <c r="B65" s="37" t="s">
        <v>173</v>
      </c>
      <c r="C65" s="103">
        <v>293</v>
      </c>
      <c r="D65" s="103" t="s">
        <v>144</v>
      </c>
      <c r="E65" s="122">
        <v>13248</v>
      </c>
      <c r="F65" s="199">
        <v>0</v>
      </c>
      <c r="G65" s="122">
        <v>13248</v>
      </c>
      <c r="H65" s="199">
        <v>0</v>
      </c>
      <c r="I65" s="199">
        <v>0</v>
      </c>
      <c r="J65" s="199">
        <v>0</v>
      </c>
      <c r="K65" s="122">
        <v>13248</v>
      </c>
    </row>
    <row r="66" spans="1:11" ht="15" customHeight="1" x14ac:dyDescent="0.2">
      <c r="A66" s="79" t="s">
        <v>471</v>
      </c>
      <c r="B66" s="115" t="s">
        <v>457</v>
      </c>
      <c r="C66" s="115" t="s">
        <v>457</v>
      </c>
      <c r="D66" s="115" t="s">
        <v>457</v>
      </c>
      <c r="E66" s="117">
        <f>SUBTOTAL(109,local293[Program
Costs])</f>
        <v>157256</v>
      </c>
      <c r="F66" s="204">
        <f>SUBTOTAL(109,local293[Less: Net
Payments 
and Offsets])</f>
        <v>0</v>
      </c>
      <c r="G66" s="117">
        <f>SUBTOTAL(109,local293[Accounts Payable
Balance])</f>
        <v>157256</v>
      </c>
      <c r="H66" s="204">
        <f>SUBTOTAL(109,local293[Established
Accounts Receivable])</f>
        <v>0</v>
      </c>
      <c r="I66" s="204">
        <f>SUBTOTAL(109,local293[Less:
 Recovered
Amount])</f>
        <v>0</v>
      </c>
      <c r="J66" s="204">
        <f>SUBTOTAL(109,local293[Accounts Receivable
Balance])</f>
        <v>0</v>
      </c>
      <c r="K66" s="117">
        <f>SUBTOTAL(109,local293[Net
Balance])</f>
        <v>157256</v>
      </c>
    </row>
    <row r="67" spans="1:11" ht="15.75" customHeight="1" x14ac:dyDescent="0.2">
      <c r="A67" s="296" t="s">
        <v>463</v>
      </c>
      <c r="B67" s="103"/>
      <c r="C67" s="130"/>
      <c r="D67" s="103"/>
      <c r="E67" s="297"/>
      <c r="F67" s="298"/>
      <c r="G67" s="297"/>
      <c r="H67" s="298"/>
      <c r="I67" s="298"/>
      <c r="J67" s="298"/>
      <c r="K67" s="297"/>
    </row>
    <row r="68" spans="1:11" ht="62.1" customHeight="1" x14ac:dyDescent="0.2">
      <c r="A68" s="40" t="s">
        <v>15</v>
      </c>
      <c r="B68" s="40" t="s">
        <v>16</v>
      </c>
      <c r="C68" s="40" t="s">
        <v>468</v>
      </c>
      <c r="D68" s="40" t="s">
        <v>1</v>
      </c>
      <c r="E68" s="230" t="s">
        <v>3</v>
      </c>
      <c r="F68" s="231" t="s">
        <v>469</v>
      </c>
      <c r="G68" s="230" t="s">
        <v>461</v>
      </c>
      <c r="H68" s="230" t="s">
        <v>460</v>
      </c>
      <c r="I68" s="230" t="s">
        <v>470</v>
      </c>
      <c r="J68" s="230" t="s">
        <v>458</v>
      </c>
      <c r="K68" s="230" t="s">
        <v>17</v>
      </c>
    </row>
    <row r="69" spans="1:11" ht="15" customHeight="1" x14ac:dyDescent="0.2">
      <c r="A69" s="198" t="s">
        <v>174</v>
      </c>
      <c r="B69" s="37" t="s">
        <v>175</v>
      </c>
      <c r="C69" s="103">
        <v>321</v>
      </c>
      <c r="D69" s="103" t="s">
        <v>69</v>
      </c>
      <c r="E69" s="122">
        <v>8464297</v>
      </c>
      <c r="F69" s="199">
        <v>0</v>
      </c>
      <c r="G69" s="122">
        <v>8464297</v>
      </c>
      <c r="H69" s="199">
        <v>0</v>
      </c>
      <c r="I69" s="199">
        <v>0</v>
      </c>
      <c r="J69" s="199">
        <v>0</v>
      </c>
      <c r="K69" s="122">
        <v>8464297</v>
      </c>
    </row>
    <row r="70" spans="1:11" ht="15" customHeight="1" x14ac:dyDescent="0.2">
      <c r="A70" s="198" t="s">
        <v>174</v>
      </c>
      <c r="B70" s="37" t="s">
        <v>175</v>
      </c>
      <c r="C70" s="103">
        <v>321</v>
      </c>
      <c r="D70" s="103" t="s">
        <v>70</v>
      </c>
      <c r="E70" s="122">
        <v>7488712</v>
      </c>
      <c r="F70" s="199">
        <v>0</v>
      </c>
      <c r="G70" s="122">
        <v>7488712</v>
      </c>
      <c r="H70" s="199">
        <v>0</v>
      </c>
      <c r="I70" s="199">
        <v>0</v>
      </c>
      <c r="J70" s="199">
        <v>0</v>
      </c>
      <c r="K70" s="122">
        <v>7488712</v>
      </c>
    </row>
    <row r="71" spans="1:11" ht="15" customHeight="1" x14ac:dyDescent="0.2">
      <c r="A71" s="198" t="s">
        <v>174</v>
      </c>
      <c r="B71" s="37" t="s">
        <v>175</v>
      </c>
      <c r="C71" s="103">
        <v>321</v>
      </c>
      <c r="D71" s="103" t="s">
        <v>73</v>
      </c>
      <c r="E71" s="122">
        <v>7044271</v>
      </c>
      <c r="F71" s="199">
        <v>0</v>
      </c>
      <c r="G71" s="122">
        <v>7044271</v>
      </c>
      <c r="H71" s="199">
        <v>0</v>
      </c>
      <c r="I71" s="199">
        <v>0</v>
      </c>
      <c r="J71" s="199">
        <v>0</v>
      </c>
      <c r="K71" s="122">
        <v>7044271</v>
      </c>
    </row>
    <row r="72" spans="1:11" ht="15" customHeight="1" x14ac:dyDescent="0.2">
      <c r="A72" s="198" t="s">
        <v>174</v>
      </c>
      <c r="B72" s="37" t="s">
        <v>175</v>
      </c>
      <c r="C72" s="103">
        <v>321</v>
      </c>
      <c r="D72" s="103" t="s">
        <v>13</v>
      </c>
      <c r="E72" s="122">
        <v>7108825</v>
      </c>
      <c r="F72" s="199">
        <v>0</v>
      </c>
      <c r="G72" s="122">
        <v>7108825</v>
      </c>
      <c r="H72" s="199">
        <v>0</v>
      </c>
      <c r="I72" s="199">
        <v>0</v>
      </c>
      <c r="J72" s="199">
        <v>0</v>
      </c>
      <c r="K72" s="122">
        <v>7108825</v>
      </c>
    </row>
    <row r="73" spans="1:11" ht="15" customHeight="1" x14ac:dyDescent="0.2">
      <c r="A73" s="198" t="s">
        <v>174</v>
      </c>
      <c r="B73" s="37" t="s">
        <v>175</v>
      </c>
      <c r="C73" s="103">
        <v>321</v>
      </c>
      <c r="D73" s="103" t="s">
        <v>120</v>
      </c>
      <c r="E73" s="122">
        <v>7802420</v>
      </c>
      <c r="F73" s="199">
        <v>0</v>
      </c>
      <c r="G73" s="122">
        <v>7802420</v>
      </c>
      <c r="H73" s="199">
        <v>0</v>
      </c>
      <c r="I73" s="199">
        <v>0</v>
      </c>
      <c r="J73" s="199">
        <v>0</v>
      </c>
      <c r="K73" s="122">
        <v>7802420</v>
      </c>
    </row>
    <row r="74" spans="1:11" ht="15" customHeight="1" x14ac:dyDescent="0.2">
      <c r="A74" s="198" t="s">
        <v>174</v>
      </c>
      <c r="B74" s="37" t="s">
        <v>175</v>
      </c>
      <c r="C74" s="103">
        <v>321</v>
      </c>
      <c r="D74" s="103" t="s">
        <v>131</v>
      </c>
      <c r="E74" s="122">
        <v>7220233</v>
      </c>
      <c r="F74" s="199">
        <v>0</v>
      </c>
      <c r="G74" s="122">
        <v>7220233</v>
      </c>
      <c r="H74" s="199">
        <v>0</v>
      </c>
      <c r="I74" s="199">
        <v>0</v>
      </c>
      <c r="J74" s="199">
        <v>0</v>
      </c>
      <c r="K74" s="122">
        <v>7220233</v>
      </c>
    </row>
    <row r="75" spans="1:11" ht="15" customHeight="1" x14ac:dyDescent="0.2">
      <c r="A75" s="198" t="s">
        <v>174</v>
      </c>
      <c r="B75" s="37" t="s">
        <v>175</v>
      </c>
      <c r="C75" s="103">
        <v>321</v>
      </c>
      <c r="D75" s="103" t="s">
        <v>136</v>
      </c>
      <c r="E75" s="122">
        <v>6601642</v>
      </c>
      <c r="F75" s="199">
        <v>0</v>
      </c>
      <c r="G75" s="122">
        <v>6601642</v>
      </c>
      <c r="H75" s="199">
        <v>0</v>
      </c>
      <c r="I75" s="199">
        <v>0</v>
      </c>
      <c r="J75" s="199">
        <v>0</v>
      </c>
      <c r="K75" s="122">
        <v>6601642</v>
      </c>
    </row>
    <row r="76" spans="1:11" s="229" customFormat="1" ht="15" customHeight="1" x14ac:dyDescent="0.2">
      <c r="A76" s="198" t="s">
        <v>174</v>
      </c>
      <c r="B76" s="37" t="s">
        <v>175</v>
      </c>
      <c r="C76" s="103">
        <v>321</v>
      </c>
      <c r="D76" s="103" t="s">
        <v>137</v>
      </c>
      <c r="E76" s="122">
        <v>5281702</v>
      </c>
      <c r="F76" s="199">
        <v>0</v>
      </c>
      <c r="G76" s="122">
        <v>5281702</v>
      </c>
      <c r="H76" s="199">
        <v>0</v>
      </c>
      <c r="I76" s="199">
        <v>0</v>
      </c>
      <c r="J76" s="199">
        <v>0</v>
      </c>
      <c r="K76" s="122">
        <v>5281702</v>
      </c>
    </row>
    <row r="77" spans="1:11" ht="15" customHeight="1" x14ac:dyDescent="0.2">
      <c r="A77" s="198" t="s">
        <v>174</v>
      </c>
      <c r="B77" s="37" t="s">
        <v>175</v>
      </c>
      <c r="C77" s="103">
        <v>321</v>
      </c>
      <c r="D77" s="103" t="s">
        <v>138</v>
      </c>
      <c r="E77" s="122">
        <v>4333187</v>
      </c>
      <c r="F77" s="199">
        <v>0</v>
      </c>
      <c r="G77" s="122">
        <v>4333187</v>
      </c>
      <c r="H77" s="199">
        <v>0</v>
      </c>
      <c r="I77" s="199">
        <v>0</v>
      </c>
      <c r="J77" s="199">
        <v>0</v>
      </c>
      <c r="K77" s="122">
        <v>4333187</v>
      </c>
    </row>
    <row r="78" spans="1:11" ht="15" customHeight="1" x14ac:dyDescent="0.2">
      <c r="A78" s="198" t="s">
        <v>174</v>
      </c>
      <c r="B78" s="37" t="s">
        <v>175</v>
      </c>
      <c r="C78" s="103">
        <v>321</v>
      </c>
      <c r="D78" s="103" t="s">
        <v>139</v>
      </c>
      <c r="E78" s="122">
        <v>3413252</v>
      </c>
      <c r="F78" s="199">
        <v>0</v>
      </c>
      <c r="G78" s="122">
        <v>3413252</v>
      </c>
      <c r="H78" s="199">
        <v>0</v>
      </c>
      <c r="I78" s="199">
        <v>0</v>
      </c>
      <c r="J78" s="199">
        <v>0</v>
      </c>
      <c r="K78" s="122">
        <v>3413252</v>
      </c>
    </row>
    <row r="79" spans="1:11" ht="15" customHeight="1" x14ac:dyDescent="0.2">
      <c r="A79" s="198" t="s">
        <v>174</v>
      </c>
      <c r="B79" s="37" t="s">
        <v>175</v>
      </c>
      <c r="C79" s="103">
        <v>321</v>
      </c>
      <c r="D79" s="103" t="s">
        <v>140</v>
      </c>
      <c r="E79" s="122">
        <v>3156784</v>
      </c>
      <c r="F79" s="199">
        <v>0</v>
      </c>
      <c r="G79" s="122">
        <v>3156784</v>
      </c>
      <c r="H79" s="199">
        <v>0</v>
      </c>
      <c r="I79" s="199">
        <v>0</v>
      </c>
      <c r="J79" s="199">
        <v>0</v>
      </c>
      <c r="K79" s="122">
        <v>3156784</v>
      </c>
    </row>
    <row r="80" spans="1:11" ht="15" customHeight="1" x14ac:dyDescent="0.2">
      <c r="A80" s="79" t="s">
        <v>413</v>
      </c>
      <c r="B80" s="115" t="s">
        <v>457</v>
      </c>
      <c r="C80" s="115" t="s">
        <v>457</v>
      </c>
      <c r="D80" s="115" t="s">
        <v>457</v>
      </c>
      <c r="E80" s="117">
        <f>SUBTOTAL(109,local321[Program
Costs])</f>
        <v>67915325</v>
      </c>
      <c r="F80" s="204">
        <f>SUBTOTAL(109,local321[Less: Net
Payments 
and Offsets])</f>
        <v>0</v>
      </c>
      <c r="G80" s="117">
        <f>SUBTOTAL(109,local321[Accounts Payable
Balance])</f>
        <v>67915325</v>
      </c>
      <c r="H80" s="204">
        <f>SUBTOTAL(109,local321[Established
Accounts Receivable])</f>
        <v>0</v>
      </c>
      <c r="I80" s="204">
        <f>SUBTOTAL(109,local321[Less:
 Recovered
Amount])</f>
        <v>0</v>
      </c>
      <c r="J80" s="204">
        <f>SUBTOTAL(109,local321[Accounts Receivable
Balance])</f>
        <v>0</v>
      </c>
      <c r="K80" s="117">
        <f>SUBTOTAL(109,local321[Net
Balance])</f>
        <v>67915325</v>
      </c>
    </row>
    <row r="81" spans="1:11" ht="15.75" customHeight="1" x14ac:dyDescent="0.2">
      <c r="A81" s="296" t="s">
        <v>463</v>
      </c>
      <c r="B81" s="103"/>
      <c r="C81" s="130"/>
      <c r="D81" s="103"/>
      <c r="E81" s="297"/>
      <c r="F81" s="298"/>
      <c r="G81" s="297"/>
      <c r="H81" s="298"/>
      <c r="I81" s="298"/>
      <c r="J81" s="298"/>
      <c r="K81" s="297"/>
    </row>
    <row r="82" spans="1:11" ht="62.1" customHeight="1" x14ac:dyDescent="0.2">
      <c r="A82" s="40" t="s">
        <v>15</v>
      </c>
      <c r="B82" s="40" t="s">
        <v>16</v>
      </c>
      <c r="C82" s="40" t="s">
        <v>468</v>
      </c>
      <c r="D82" s="40" t="s">
        <v>1</v>
      </c>
      <c r="E82" s="230" t="s">
        <v>3</v>
      </c>
      <c r="F82" s="231" t="s">
        <v>469</v>
      </c>
      <c r="G82" s="230" t="s">
        <v>461</v>
      </c>
      <c r="H82" s="230" t="s">
        <v>460</v>
      </c>
      <c r="I82" s="230" t="s">
        <v>470</v>
      </c>
      <c r="J82" s="230" t="s">
        <v>458</v>
      </c>
      <c r="K82" s="230" t="s">
        <v>17</v>
      </c>
    </row>
    <row r="83" spans="1:11" ht="15" customHeight="1" x14ac:dyDescent="0.2">
      <c r="A83" s="198" t="s">
        <v>176</v>
      </c>
      <c r="B83" s="37" t="s">
        <v>177</v>
      </c>
      <c r="C83" s="103">
        <v>358</v>
      </c>
      <c r="D83" s="103" t="s">
        <v>67</v>
      </c>
      <c r="E83" s="122">
        <v>1078586</v>
      </c>
      <c r="F83" s="199">
        <v>0</v>
      </c>
      <c r="G83" s="122">
        <v>1078586</v>
      </c>
      <c r="H83" s="199">
        <v>0</v>
      </c>
      <c r="I83" s="199">
        <v>0</v>
      </c>
      <c r="J83" s="199">
        <v>0</v>
      </c>
      <c r="K83" s="122">
        <v>1078586</v>
      </c>
    </row>
    <row r="84" spans="1:11" ht="15" customHeight="1" x14ac:dyDescent="0.2">
      <c r="A84" s="198" t="s">
        <v>176</v>
      </c>
      <c r="B84" s="37" t="s">
        <v>177</v>
      </c>
      <c r="C84" s="103">
        <v>358</v>
      </c>
      <c r="D84" s="103" t="s">
        <v>68</v>
      </c>
      <c r="E84" s="122">
        <v>1459714</v>
      </c>
      <c r="F84" s="199">
        <v>0</v>
      </c>
      <c r="G84" s="122">
        <v>1459714</v>
      </c>
      <c r="H84" s="199">
        <v>0</v>
      </c>
      <c r="I84" s="199">
        <v>0</v>
      </c>
      <c r="J84" s="199">
        <v>0</v>
      </c>
      <c r="K84" s="122">
        <v>1459714</v>
      </c>
    </row>
    <row r="85" spans="1:11" ht="15" customHeight="1" x14ac:dyDescent="0.2">
      <c r="A85" s="198" t="s">
        <v>176</v>
      </c>
      <c r="B85" s="37" t="s">
        <v>177</v>
      </c>
      <c r="C85" s="103">
        <v>358</v>
      </c>
      <c r="D85" s="103" t="s">
        <v>69</v>
      </c>
      <c r="E85" s="122">
        <v>1235536</v>
      </c>
      <c r="F85" s="199">
        <v>0</v>
      </c>
      <c r="G85" s="122">
        <v>1235536</v>
      </c>
      <c r="H85" s="199">
        <v>0</v>
      </c>
      <c r="I85" s="199">
        <v>0</v>
      </c>
      <c r="J85" s="199">
        <v>0</v>
      </c>
      <c r="K85" s="122">
        <v>1235536</v>
      </c>
    </row>
    <row r="86" spans="1:11" ht="15" customHeight="1" x14ac:dyDescent="0.2">
      <c r="A86" s="198" t="s">
        <v>176</v>
      </c>
      <c r="B86" s="37" t="s">
        <v>177</v>
      </c>
      <c r="C86" s="103">
        <v>358</v>
      </c>
      <c r="D86" s="103" t="s">
        <v>70</v>
      </c>
      <c r="E86" s="122">
        <v>3939475</v>
      </c>
      <c r="F86" s="199">
        <v>0</v>
      </c>
      <c r="G86" s="122">
        <v>3939475</v>
      </c>
      <c r="H86" s="199">
        <v>0</v>
      </c>
      <c r="I86" s="199">
        <v>0</v>
      </c>
      <c r="J86" s="199">
        <v>0</v>
      </c>
      <c r="K86" s="122">
        <v>3939475</v>
      </c>
    </row>
    <row r="87" spans="1:11" ht="15" customHeight="1" x14ac:dyDescent="0.2">
      <c r="A87" s="198" t="s">
        <v>176</v>
      </c>
      <c r="B87" s="37" t="s">
        <v>177</v>
      </c>
      <c r="C87" s="103">
        <v>358</v>
      </c>
      <c r="D87" s="103" t="s">
        <v>73</v>
      </c>
      <c r="E87" s="122">
        <v>7218556</v>
      </c>
      <c r="F87" s="199">
        <v>0</v>
      </c>
      <c r="G87" s="122">
        <v>7218556</v>
      </c>
      <c r="H87" s="199">
        <v>0</v>
      </c>
      <c r="I87" s="199">
        <v>0</v>
      </c>
      <c r="J87" s="199">
        <v>0</v>
      </c>
      <c r="K87" s="122">
        <v>7218556</v>
      </c>
    </row>
    <row r="88" spans="1:11" ht="15" customHeight="1" x14ac:dyDescent="0.2">
      <c r="A88" s="198" t="s">
        <v>176</v>
      </c>
      <c r="B88" s="37" t="s">
        <v>177</v>
      </c>
      <c r="C88" s="103">
        <v>358</v>
      </c>
      <c r="D88" s="103" t="s">
        <v>13</v>
      </c>
      <c r="E88" s="122">
        <v>7015470</v>
      </c>
      <c r="F88" s="199">
        <v>0</v>
      </c>
      <c r="G88" s="122">
        <v>7015470</v>
      </c>
      <c r="H88" s="199">
        <v>0</v>
      </c>
      <c r="I88" s="199">
        <v>0</v>
      </c>
      <c r="J88" s="199">
        <v>0</v>
      </c>
      <c r="K88" s="122">
        <v>7015470</v>
      </c>
    </row>
    <row r="89" spans="1:11" ht="15" customHeight="1" x14ac:dyDescent="0.2">
      <c r="A89" s="198" t="s">
        <v>176</v>
      </c>
      <c r="B89" s="37" t="s">
        <v>177</v>
      </c>
      <c r="C89" s="103">
        <v>358</v>
      </c>
      <c r="D89" s="103" t="s">
        <v>120</v>
      </c>
      <c r="E89" s="122">
        <v>5667286</v>
      </c>
      <c r="F89" s="199">
        <v>0</v>
      </c>
      <c r="G89" s="122">
        <v>5667286</v>
      </c>
      <c r="H89" s="199">
        <v>0</v>
      </c>
      <c r="I89" s="199">
        <v>0</v>
      </c>
      <c r="J89" s="199">
        <v>0</v>
      </c>
      <c r="K89" s="122">
        <v>5667286</v>
      </c>
    </row>
    <row r="90" spans="1:11" ht="15" customHeight="1" x14ac:dyDescent="0.2">
      <c r="A90" s="198" t="s">
        <v>176</v>
      </c>
      <c r="B90" s="37" t="s">
        <v>177</v>
      </c>
      <c r="C90" s="103">
        <v>358</v>
      </c>
      <c r="D90" s="103" t="s">
        <v>131</v>
      </c>
      <c r="E90" s="122">
        <v>5031327</v>
      </c>
      <c r="F90" s="199">
        <v>0</v>
      </c>
      <c r="G90" s="122">
        <v>5031327</v>
      </c>
      <c r="H90" s="199">
        <v>0</v>
      </c>
      <c r="I90" s="199">
        <v>0</v>
      </c>
      <c r="J90" s="199">
        <v>0</v>
      </c>
      <c r="K90" s="122">
        <v>5031327</v>
      </c>
    </row>
    <row r="91" spans="1:11" ht="15" customHeight="1" x14ac:dyDescent="0.2">
      <c r="A91" s="198" t="s">
        <v>176</v>
      </c>
      <c r="B91" s="37" t="s">
        <v>177</v>
      </c>
      <c r="C91" s="103">
        <v>358</v>
      </c>
      <c r="D91" s="103" t="s">
        <v>136</v>
      </c>
      <c r="E91" s="122">
        <v>4489524</v>
      </c>
      <c r="F91" s="199">
        <v>0</v>
      </c>
      <c r="G91" s="122">
        <v>4489524</v>
      </c>
      <c r="H91" s="199">
        <v>0</v>
      </c>
      <c r="I91" s="199">
        <v>0</v>
      </c>
      <c r="J91" s="199">
        <v>0</v>
      </c>
      <c r="K91" s="122">
        <v>4489524</v>
      </c>
    </row>
    <row r="92" spans="1:11" ht="15" customHeight="1" x14ac:dyDescent="0.2">
      <c r="A92" s="198" t="s">
        <v>176</v>
      </c>
      <c r="B92" s="37" t="s">
        <v>177</v>
      </c>
      <c r="C92" s="103">
        <v>358</v>
      </c>
      <c r="D92" s="103" t="s">
        <v>137</v>
      </c>
      <c r="E92" s="122">
        <v>4188945</v>
      </c>
      <c r="F92" s="199">
        <v>0</v>
      </c>
      <c r="G92" s="122">
        <v>4188945</v>
      </c>
      <c r="H92" s="199">
        <v>0</v>
      </c>
      <c r="I92" s="199">
        <v>0</v>
      </c>
      <c r="J92" s="199">
        <v>0</v>
      </c>
      <c r="K92" s="122">
        <v>4188945</v>
      </c>
    </row>
    <row r="93" spans="1:11" ht="15" customHeight="1" x14ac:dyDescent="0.2">
      <c r="A93" s="198" t="s">
        <v>176</v>
      </c>
      <c r="B93" s="37" t="s">
        <v>177</v>
      </c>
      <c r="C93" s="103">
        <v>358</v>
      </c>
      <c r="D93" s="103" t="s">
        <v>138</v>
      </c>
      <c r="E93" s="122">
        <v>4009240</v>
      </c>
      <c r="F93" s="199">
        <v>0</v>
      </c>
      <c r="G93" s="122">
        <v>4009240</v>
      </c>
      <c r="H93" s="199">
        <v>0</v>
      </c>
      <c r="I93" s="199">
        <v>0</v>
      </c>
      <c r="J93" s="199">
        <v>0</v>
      </c>
      <c r="K93" s="122">
        <v>4009240</v>
      </c>
    </row>
    <row r="94" spans="1:11" s="229" customFormat="1" ht="15" customHeight="1" x14ac:dyDescent="0.2">
      <c r="A94" s="198" t="s">
        <v>176</v>
      </c>
      <c r="B94" s="37" t="s">
        <v>177</v>
      </c>
      <c r="C94" s="103">
        <v>358</v>
      </c>
      <c r="D94" s="103" t="s">
        <v>139</v>
      </c>
      <c r="E94" s="122">
        <v>3716419</v>
      </c>
      <c r="F94" s="199">
        <v>0</v>
      </c>
      <c r="G94" s="122">
        <v>3716419</v>
      </c>
      <c r="H94" s="199">
        <v>0</v>
      </c>
      <c r="I94" s="199">
        <v>0</v>
      </c>
      <c r="J94" s="199">
        <v>0</v>
      </c>
      <c r="K94" s="122">
        <v>3716419</v>
      </c>
    </row>
    <row r="95" spans="1:11" ht="15" customHeight="1" x14ac:dyDescent="0.2">
      <c r="A95" s="198" t="s">
        <v>176</v>
      </c>
      <c r="B95" s="37" t="s">
        <v>177</v>
      </c>
      <c r="C95" s="103">
        <v>358</v>
      </c>
      <c r="D95" s="103" t="s">
        <v>140</v>
      </c>
      <c r="E95" s="122">
        <v>3361804</v>
      </c>
      <c r="F95" s="199">
        <v>0</v>
      </c>
      <c r="G95" s="122">
        <v>3361804</v>
      </c>
      <c r="H95" s="199">
        <v>0</v>
      </c>
      <c r="I95" s="199">
        <v>0</v>
      </c>
      <c r="J95" s="199">
        <v>0</v>
      </c>
      <c r="K95" s="122">
        <v>3361804</v>
      </c>
    </row>
    <row r="96" spans="1:11" ht="15" customHeight="1" x14ac:dyDescent="0.2">
      <c r="A96" s="198" t="s">
        <v>176</v>
      </c>
      <c r="B96" s="37" t="s">
        <v>177</v>
      </c>
      <c r="C96" s="103">
        <v>358</v>
      </c>
      <c r="D96" s="103" t="s">
        <v>141</v>
      </c>
      <c r="E96" s="122">
        <v>3002529</v>
      </c>
      <c r="F96" s="199">
        <v>0</v>
      </c>
      <c r="G96" s="122">
        <v>3002529</v>
      </c>
      <c r="H96" s="199">
        <v>0</v>
      </c>
      <c r="I96" s="199">
        <v>0</v>
      </c>
      <c r="J96" s="199">
        <v>0</v>
      </c>
      <c r="K96" s="122">
        <v>3002529</v>
      </c>
    </row>
    <row r="97" spans="1:11" ht="15" customHeight="1" x14ac:dyDescent="0.2">
      <c r="A97" s="198" t="s">
        <v>176</v>
      </c>
      <c r="B97" s="37" t="s">
        <v>177</v>
      </c>
      <c r="C97" s="103">
        <v>358</v>
      </c>
      <c r="D97" s="103" t="s">
        <v>144</v>
      </c>
      <c r="E97" s="122">
        <v>2845338</v>
      </c>
      <c r="F97" s="199">
        <v>0</v>
      </c>
      <c r="G97" s="122">
        <v>2845338</v>
      </c>
      <c r="H97" s="199">
        <v>0</v>
      </c>
      <c r="I97" s="199">
        <v>0</v>
      </c>
      <c r="J97" s="199">
        <v>0</v>
      </c>
      <c r="K97" s="122">
        <v>2845338</v>
      </c>
    </row>
    <row r="98" spans="1:11" s="229" customFormat="1" ht="15" customHeight="1" x14ac:dyDescent="0.2">
      <c r="A98" s="198" t="s">
        <v>176</v>
      </c>
      <c r="B98" s="37" t="s">
        <v>177</v>
      </c>
      <c r="C98" s="103">
        <v>358</v>
      </c>
      <c r="D98" s="103" t="s">
        <v>145</v>
      </c>
      <c r="E98" s="122">
        <v>2607566</v>
      </c>
      <c r="F98" s="199">
        <v>0</v>
      </c>
      <c r="G98" s="122">
        <v>2607566</v>
      </c>
      <c r="H98" s="199">
        <v>0</v>
      </c>
      <c r="I98" s="199">
        <v>0</v>
      </c>
      <c r="J98" s="199">
        <v>0</v>
      </c>
      <c r="K98" s="122">
        <v>2607566</v>
      </c>
    </row>
    <row r="99" spans="1:11" ht="15" customHeight="1" x14ac:dyDescent="0.2">
      <c r="A99" s="79" t="s">
        <v>414</v>
      </c>
      <c r="B99" s="115" t="s">
        <v>457</v>
      </c>
      <c r="C99" s="115" t="s">
        <v>457</v>
      </c>
      <c r="D99" s="115" t="s">
        <v>457</v>
      </c>
      <c r="E99" s="117">
        <f>SUBTOTAL(109,local358[Program
Costs])</f>
        <v>60867315</v>
      </c>
      <c r="F99" s="204">
        <f>SUBTOTAL(109,local358[Less: Net
Payments 
and Offsets])</f>
        <v>0</v>
      </c>
      <c r="G99" s="117">
        <f>SUBTOTAL(109,local358[Accounts Payable
Balance])</f>
        <v>60867315</v>
      </c>
      <c r="H99" s="204">
        <f>SUBTOTAL(109,local358[Established
Accounts Receivable])</f>
        <v>0</v>
      </c>
      <c r="I99" s="204">
        <f>SUBTOTAL(109,local358[Less:
 Recovered
Amount])</f>
        <v>0</v>
      </c>
      <c r="J99" s="204">
        <f>SUBTOTAL(109,local358[Accounts Receivable
Balance])</f>
        <v>0</v>
      </c>
      <c r="K99" s="117">
        <f>SUBTOTAL(109,local358[Net
Balance])</f>
        <v>60867315</v>
      </c>
    </row>
    <row r="100" spans="1:11" ht="15.75" customHeight="1" x14ac:dyDescent="0.2">
      <c r="A100" s="296" t="s">
        <v>463</v>
      </c>
      <c r="B100" s="103"/>
      <c r="C100" s="130"/>
      <c r="D100" s="103"/>
      <c r="E100" s="297"/>
      <c r="F100" s="298"/>
      <c r="G100" s="297"/>
      <c r="H100" s="298"/>
      <c r="I100" s="298"/>
      <c r="J100" s="298"/>
      <c r="K100" s="297"/>
    </row>
    <row r="101" spans="1:11" ht="62.1" customHeight="1" x14ac:dyDescent="0.2">
      <c r="A101" s="40" t="s">
        <v>15</v>
      </c>
      <c r="B101" s="40" t="s">
        <v>16</v>
      </c>
      <c r="C101" s="40" t="s">
        <v>468</v>
      </c>
      <c r="D101" s="40" t="s">
        <v>1</v>
      </c>
      <c r="E101" s="230" t="s">
        <v>3</v>
      </c>
      <c r="F101" s="231" t="s">
        <v>469</v>
      </c>
      <c r="G101" s="230" t="s">
        <v>461</v>
      </c>
      <c r="H101" s="230" t="s">
        <v>460</v>
      </c>
      <c r="I101" s="230" t="s">
        <v>470</v>
      </c>
      <c r="J101" s="230" t="s">
        <v>458</v>
      </c>
      <c r="K101" s="230" t="s">
        <v>17</v>
      </c>
    </row>
    <row r="102" spans="1:11" ht="15" customHeight="1" x14ac:dyDescent="0.2">
      <c r="A102" s="198" t="s">
        <v>178</v>
      </c>
      <c r="B102" s="37" t="s">
        <v>179</v>
      </c>
      <c r="C102" s="103">
        <v>259</v>
      </c>
      <c r="D102" s="103" t="s">
        <v>70</v>
      </c>
      <c r="E102" s="122">
        <v>1840</v>
      </c>
      <c r="F102" s="199">
        <v>0</v>
      </c>
      <c r="G102" s="122">
        <v>1840</v>
      </c>
      <c r="H102" s="199">
        <v>0</v>
      </c>
      <c r="I102" s="199">
        <v>0</v>
      </c>
      <c r="J102" s="199">
        <v>0</v>
      </c>
      <c r="K102" s="122">
        <v>1840</v>
      </c>
    </row>
    <row r="103" spans="1:11" ht="15" customHeight="1" x14ac:dyDescent="0.2">
      <c r="A103" s="198" t="s">
        <v>178</v>
      </c>
      <c r="B103" s="37" t="s">
        <v>179</v>
      </c>
      <c r="C103" s="103">
        <v>259</v>
      </c>
      <c r="D103" s="103" t="s">
        <v>73</v>
      </c>
      <c r="E103" s="122">
        <v>3550</v>
      </c>
      <c r="F103" s="199">
        <v>0</v>
      </c>
      <c r="G103" s="122">
        <v>3550</v>
      </c>
      <c r="H103" s="199">
        <v>0</v>
      </c>
      <c r="I103" s="199">
        <v>0</v>
      </c>
      <c r="J103" s="199">
        <v>0</v>
      </c>
      <c r="K103" s="122">
        <v>3550</v>
      </c>
    </row>
    <row r="104" spans="1:11" ht="15" customHeight="1" x14ac:dyDescent="0.2">
      <c r="A104" s="79" t="s">
        <v>415</v>
      </c>
      <c r="B104" s="115" t="s">
        <v>457</v>
      </c>
      <c r="C104" s="115" t="s">
        <v>457</v>
      </c>
      <c r="D104" s="115" t="s">
        <v>457</v>
      </c>
      <c r="E104" s="117">
        <f>SUBTOTAL(109,local259[Program
Costs])</f>
        <v>5390</v>
      </c>
      <c r="F104" s="204">
        <f>SUBTOTAL(109,local259[Less: Net
Payments 
and Offsets])</f>
        <v>0</v>
      </c>
      <c r="G104" s="117">
        <f>SUBTOTAL(109,local259[Accounts Payable
Balance])</f>
        <v>5390</v>
      </c>
      <c r="H104" s="204">
        <f>SUBTOTAL(109,local259[Established
Accounts Receivable])</f>
        <v>0</v>
      </c>
      <c r="I104" s="204">
        <f>SUBTOTAL(109,local259[Less:
 Recovered
Amount])</f>
        <v>0</v>
      </c>
      <c r="J104" s="204">
        <f>SUBTOTAL(109,local259[Accounts Receivable
Balance])</f>
        <v>0</v>
      </c>
      <c r="K104" s="117">
        <f>SUBTOTAL(109,local259[Net
Balance])</f>
        <v>5390</v>
      </c>
    </row>
    <row r="105" spans="1:11" ht="15.75" customHeight="1" x14ac:dyDescent="0.2">
      <c r="A105" s="296" t="s">
        <v>463</v>
      </c>
      <c r="B105" s="103"/>
      <c r="C105" s="130"/>
      <c r="D105" s="103"/>
      <c r="E105" s="297"/>
      <c r="F105" s="298"/>
      <c r="G105" s="297"/>
      <c r="H105" s="298"/>
      <c r="I105" s="298"/>
      <c r="J105" s="298"/>
      <c r="K105" s="297"/>
    </row>
    <row r="106" spans="1:11" ht="62.1" customHeight="1" x14ac:dyDescent="0.2">
      <c r="A106" s="40" t="s">
        <v>15</v>
      </c>
      <c r="B106" s="40" t="s">
        <v>16</v>
      </c>
      <c r="C106" s="40" t="s">
        <v>468</v>
      </c>
      <c r="D106" s="40" t="s">
        <v>1</v>
      </c>
      <c r="E106" s="230" t="s">
        <v>3</v>
      </c>
      <c r="F106" s="231" t="s">
        <v>469</v>
      </c>
      <c r="G106" s="230" t="s">
        <v>461</v>
      </c>
      <c r="H106" s="230" t="s">
        <v>460</v>
      </c>
      <c r="I106" s="230" t="s">
        <v>470</v>
      </c>
      <c r="J106" s="230" t="s">
        <v>458</v>
      </c>
      <c r="K106" s="230" t="s">
        <v>17</v>
      </c>
    </row>
    <row r="107" spans="1:11" ht="15" customHeight="1" x14ac:dyDescent="0.2">
      <c r="A107" s="198" t="s">
        <v>180</v>
      </c>
      <c r="B107" s="37" t="s">
        <v>181</v>
      </c>
      <c r="C107" s="103">
        <v>298</v>
      </c>
      <c r="D107" s="103" t="s">
        <v>589</v>
      </c>
      <c r="E107" s="122">
        <v>2190920</v>
      </c>
      <c r="F107" s="199">
        <v>0</v>
      </c>
      <c r="G107" s="122">
        <v>2190920</v>
      </c>
      <c r="H107" s="199">
        <v>0</v>
      </c>
      <c r="I107" s="199">
        <v>0</v>
      </c>
      <c r="J107" s="199">
        <v>0</v>
      </c>
      <c r="K107" s="122">
        <v>2190920</v>
      </c>
    </row>
    <row r="108" spans="1:11" ht="15" customHeight="1" x14ac:dyDescent="0.2">
      <c r="A108" s="198" t="s">
        <v>180</v>
      </c>
      <c r="B108" s="37" t="s">
        <v>181</v>
      </c>
      <c r="C108" s="103">
        <v>298</v>
      </c>
      <c r="D108" s="103" t="s">
        <v>425</v>
      </c>
      <c r="E108" s="122">
        <v>1896881</v>
      </c>
      <c r="F108" s="199">
        <v>0</v>
      </c>
      <c r="G108" s="122">
        <v>1896881</v>
      </c>
      <c r="H108" s="199">
        <v>0</v>
      </c>
      <c r="I108" s="199">
        <v>0</v>
      </c>
      <c r="J108" s="199">
        <v>0</v>
      </c>
      <c r="K108" s="122">
        <v>1896881</v>
      </c>
    </row>
    <row r="109" spans="1:11" ht="15" customHeight="1" x14ac:dyDescent="0.2">
      <c r="A109" s="198" t="s">
        <v>180</v>
      </c>
      <c r="B109" s="37" t="s">
        <v>181</v>
      </c>
      <c r="C109" s="103">
        <v>298</v>
      </c>
      <c r="D109" s="103" t="s">
        <v>18</v>
      </c>
      <c r="E109" s="122">
        <v>1645132</v>
      </c>
      <c r="F109" s="199">
        <v>0</v>
      </c>
      <c r="G109" s="122">
        <v>1645132</v>
      </c>
      <c r="H109" s="199">
        <v>0</v>
      </c>
      <c r="I109" s="199">
        <v>0</v>
      </c>
      <c r="J109" s="199">
        <v>0</v>
      </c>
      <c r="K109" s="122">
        <v>1645132</v>
      </c>
    </row>
    <row r="110" spans="1:11" ht="15" customHeight="1" x14ac:dyDescent="0.2">
      <c r="A110" s="198" t="s">
        <v>180</v>
      </c>
      <c r="B110" s="37" t="s">
        <v>181</v>
      </c>
      <c r="C110" s="103">
        <v>298</v>
      </c>
      <c r="D110" s="103" t="s">
        <v>63</v>
      </c>
      <c r="E110" s="122">
        <v>1718804</v>
      </c>
      <c r="F110" s="199">
        <v>0</v>
      </c>
      <c r="G110" s="122">
        <v>1718804</v>
      </c>
      <c r="H110" s="199">
        <v>0</v>
      </c>
      <c r="I110" s="199">
        <v>0</v>
      </c>
      <c r="J110" s="199">
        <v>0</v>
      </c>
      <c r="K110" s="122">
        <v>1718804</v>
      </c>
    </row>
    <row r="111" spans="1:11" ht="15" customHeight="1" x14ac:dyDescent="0.2">
      <c r="A111" s="198" t="s">
        <v>180</v>
      </c>
      <c r="B111" s="37" t="s">
        <v>181</v>
      </c>
      <c r="C111" s="103">
        <v>298</v>
      </c>
      <c r="D111" s="103" t="s">
        <v>64</v>
      </c>
      <c r="E111" s="122">
        <v>1484786</v>
      </c>
      <c r="F111" s="199">
        <v>0</v>
      </c>
      <c r="G111" s="122">
        <v>1484786</v>
      </c>
      <c r="H111" s="199">
        <v>0</v>
      </c>
      <c r="I111" s="199">
        <v>0</v>
      </c>
      <c r="J111" s="199">
        <v>0</v>
      </c>
      <c r="K111" s="122">
        <v>1484786</v>
      </c>
    </row>
    <row r="112" spans="1:11" ht="15" customHeight="1" x14ac:dyDescent="0.2">
      <c r="A112" s="198" t="s">
        <v>180</v>
      </c>
      <c r="B112" s="37" t="s">
        <v>181</v>
      </c>
      <c r="C112" s="103">
        <v>298</v>
      </c>
      <c r="D112" s="103" t="s">
        <v>65</v>
      </c>
      <c r="E112" s="122">
        <v>1416419</v>
      </c>
      <c r="F112" s="199">
        <v>0</v>
      </c>
      <c r="G112" s="122">
        <v>1416419</v>
      </c>
      <c r="H112" s="199">
        <v>0</v>
      </c>
      <c r="I112" s="199">
        <v>0</v>
      </c>
      <c r="J112" s="199">
        <v>0</v>
      </c>
      <c r="K112" s="122">
        <v>1416419</v>
      </c>
    </row>
    <row r="113" spans="1:11" ht="15" customHeight="1" x14ac:dyDescent="0.2">
      <c r="A113" s="198" t="s">
        <v>180</v>
      </c>
      <c r="B113" s="37" t="s">
        <v>181</v>
      </c>
      <c r="C113" s="103">
        <v>298</v>
      </c>
      <c r="D113" s="103" t="s">
        <v>66</v>
      </c>
      <c r="E113" s="122">
        <v>1726995</v>
      </c>
      <c r="F113" s="199">
        <v>0</v>
      </c>
      <c r="G113" s="122">
        <v>1726995</v>
      </c>
      <c r="H113" s="199">
        <v>0</v>
      </c>
      <c r="I113" s="199">
        <v>0</v>
      </c>
      <c r="J113" s="199">
        <v>0</v>
      </c>
      <c r="K113" s="122">
        <v>1726995</v>
      </c>
    </row>
    <row r="114" spans="1:11" ht="15" customHeight="1" x14ac:dyDescent="0.2">
      <c r="A114" s="198" t="s">
        <v>180</v>
      </c>
      <c r="B114" s="37" t="s">
        <v>181</v>
      </c>
      <c r="C114" s="103">
        <v>298</v>
      </c>
      <c r="D114" s="103" t="s">
        <v>67</v>
      </c>
      <c r="E114" s="122">
        <v>1662687</v>
      </c>
      <c r="F114" s="199">
        <v>0</v>
      </c>
      <c r="G114" s="122">
        <v>1662687</v>
      </c>
      <c r="H114" s="199">
        <v>0</v>
      </c>
      <c r="I114" s="199">
        <v>0</v>
      </c>
      <c r="J114" s="199">
        <v>0</v>
      </c>
      <c r="K114" s="122">
        <v>1662687</v>
      </c>
    </row>
    <row r="115" spans="1:11" ht="15" customHeight="1" x14ac:dyDescent="0.2">
      <c r="A115" s="198" t="s">
        <v>180</v>
      </c>
      <c r="B115" s="37" t="s">
        <v>181</v>
      </c>
      <c r="C115" s="103">
        <v>298</v>
      </c>
      <c r="D115" s="103" t="s">
        <v>68</v>
      </c>
      <c r="E115" s="122">
        <v>2324012</v>
      </c>
      <c r="F115" s="199">
        <v>0</v>
      </c>
      <c r="G115" s="122">
        <v>2324012</v>
      </c>
      <c r="H115" s="199">
        <v>0</v>
      </c>
      <c r="I115" s="199">
        <v>0</v>
      </c>
      <c r="J115" s="199">
        <v>0</v>
      </c>
      <c r="K115" s="122">
        <v>2324012</v>
      </c>
    </row>
    <row r="116" spans="1:11" ht="15" customHeight="1" x14ac:dyDescent="0.2">
      <c r="A116" s="198" t="s">
        <v>180</v>
      </c>
      <c r="B116" s="37" t="s">
        <v>181</v>
      </c>
      <c r="C116" s="103">
        <v>298</v>
      </c>
      <c r="D116" s="103" t="s">
        <v>69</v>
      </c>
      <c r="E116" s="122">
        <v>1932028</v>
      </c>
      <c r="F116" s="199">
        <v>0</v>
      </c>
      <c r="G116" s="122">
        <v>1932028</v>
      </c>
      <c r="H116" s="199">
        <v>0</v>
      </c>
      <c r="I116" s="199">
        <v>0</v>
      </c>
      <c r="J116" s="199">
        <v>0</v>
      </c>
      <c r="K116" s="122">
        <v>1932028</v>
      </c>
    </row>
    <row r="117" spans="1:11" ht="15" customHeight="1" x14ac:dyDescent="0.2">
      <c r="A117" s="198" t="s">
        <v>180</v>
      </c>
      <c r="B117" s="37" t="s">
        <v>181</v>
      </c>
      <c r="C117" s="103">
        <v>298</v>
      </c>
      <c r="D117" s="103" t="s">
        <v>70</v>
      </c>
      <c r="E117" s="122">
        <v>1436215</v>
      </c>
      <c r="F117" s="199">
        <v>0</v>
      </c>
      <c r="G117" s="122">
        <v>1436215</v>
      </c>
      <c r="H117" s="199">
        <v>0</v>
      </c>
      <c r="I117" s="199">
        <v>0</v>
      </c>
      <c r="J117" s="199">
        <v>0</v>
      </c>
      <c r="K117" s="122">
        <v>1436215</v>
      </c>
    </row>
    <row r="118" spans="1:11" ht="15" customHeight="1" x14ac:dyDescent="0.2">
      <c r="A118" s="198" t="s">
        <v>180</v>
      </c>
      <c r="B118" s="37" t="s">
        <v>181</v>
      </c>
      <c r="C118" s="103">
        <v>298</v>
      </c>
      <c r="D118" s="103" t="s">
        <v>73</v>
      </c>
      <c r="E118" s="122">
        <v>1138086</v>
      </c>
      <c r="F118" s="199">
        <v>0</v>
      </c>
      <c r="G118" s="122">
        <v>1138086</v>
      </c>
      <c r="H118" s="199">
        <v>0</v>
      </c>
      <c r="I118" s="199">
        <v>0</v>
      </c>
      <c r="J118" s="199">
        <v>0</v>
      </c>
      <c r="K118" s="122">
        <v>1138086</v>
      </c>
    </row>
    <row r="119" spans="1:11" ht="15" customHeight="1" x14ac:dyDescent="0.2">
      <c r="A119" s="198" t="s">
        <v>180</v>
      </c>
      <c r="B119" s="37" t="s">
        <v>181</v>
      </c>
      <c r="C119" s="103">
        <v>298</v>
      </c>
      <c r="D119" s="103" t="s">
        <v>13</v>
      </c>
      <c r="E119" s="122">
        <v>696362</v>
      </c>
      <c r="F119" s="199">
        <v>0</v>
      </c>
      <c r="G119" s="122">
        <v>696362</v>
      </c>
      <c r="H119" s="199">
        <v>0</v>
      </c>
      <c r="I119" s="199">
        <v>0</v>
      </c>
      <c r="J119" s="199">
        <v>0</v>
      </c>
      <c r="K119" s="122">
        <v>696362</v>
      </c>
    </row>
    <row r="120" spans="1:11" s="229" customFormat="1" ht="15" customHeight="1" x14ac:dyDescent="0.2">
      <c r="A120" s="198" t="s">
        <v>180</v>
      </c>
      <c r="B120" s="37" t="s">
        <v>181</v>
      </c>
      <c r="C120" s="103">
        <v>298</v>
      </c>
      <c r="D120" s="103" t="s">
        <v>120</v>
      </c>
      <c r="E120" s="122">
        <v>826282</v>
      </c>
      <c r="F120" s="199">
        <v>0</v>
      </c>
      <c r="G120" s="122">
        <v>826282</v>
      </c>
      <c r="H120" s="199">
        <v>0</v>
      </c>
      <c r="I120" s="199">
        <v>0</v>
      </c>
      <c r="J120" s="199">
        <v>0</v>
      </c>
      <c r="K120" s="122">
        <v>826282</v>
      </c>
    </row>
    <row r="121" spans="1:11" ht="15" customHeight="1" x14ac:dyDescent="0.2">
      <c r="A121" s="198" t="s">
        <v>180</v>
      </c>
      <c r="B121" s="37" t="s">
        <v>181</v>
      </c>
      <c r="C121" s="103">
        <v>298</v>
      </c>
      <c r="D121" s="103" t="s">
        <v>131</v>
      </c>
      <c r="E121" s="122">
        <v>1579014</v>
      </c>
      <c r="F121" s="199">
        <v>0</v>
      </c>
      <c r="G121" s="122">
        <v>1579014</v>
      </c>
      <c r="H121" s="199">
        <v>0</v>
      </c>
      <c r="I121" s="199">
        <v>0</v>
      </c>
      <c r="J121" s="199">
        <v>0</v>
      </c>
      <c r="K121" s="122">
        <v>1579014</v>
      </c>
    </row>
    <row r="122" spans="1:11" ht="15" customHeight="1" x14ac:dyDescent="0.2">
      <c r="A122" s="198" t="s">
        <v>180</v>
      </c>
      <c r="B122" s="37" t="s">
        <v>181</v>
      </c>
      <c r="C122" s="103">
        <v>298</v>
      </c>
      <c r="D122" s="103" t="s">
        <v>136</v>
      </c>
      <c r="E122" s="122">
        <v>1483364</v>
      </c>
      <c r="F122" s="199">
        <v>0</v>
      </c>
      <c r="G122" s="122">
        <v>1483364</v>
      </c>
      <c r="H122" s="199">
        <v>0</v>
      </c>
      <c r="I122" s="199">
        <v>0</v>
      </c>
      <c r="J122" s="199">
        <v>0</v>
      </c>
      <c r="K122" s="122">
        <v>1483364</v>
      </c>
    </row>
    <row r="123" spans="1:11" ht="15" customHeight="1" x14ac:dyDescent="0.2">
      <c r="A123" s="198" t="s">
        <v>180</v>
      </c>
      <c r="B123" s="37" t="s">
        <v>181</v>
      </c>
      <c r="C123" s="103">
        <v>298</v>
      </c>
      <c r="D123" s="103" t="s">
        <v>137</v>
      </c>
      <c r="E123" s="122">
        <v>603417</v>
      </c>
      <c r="F123" s="199">
        <v>0</v>
      </c>
      <c r="G123" s="122">
        <v>603417</v>
      </c>
      <c r="H123" s="199">
        <v>0</v>
      </c>
      <c r="I123" s="199">
        <v>0</v>
      </c>
      <c r="J123" s="199">
        <v>0</v>
      </c>
      <c r="K123" s="122">
        <v>603417</v>
      </c>
    </row>
    <row r="124" spans="1:11" ht="15" customHeight="1" x14ac:dyDescent="0.2">
      <c r="A124" s="198" t="s">
        <v>180</v>
      </c>
      <c r="B124" s="37" t="s">
        <v>181</v>
      </c>
      <c r="C124" s="103">
        <v>298</v>
      </c>
      <c r="D124" s="103" t="s">
        <v>138</v>
      </c>
      <c r="E124" s="122">
        <v>567345</v>
      </c>
      <c r="F124" s="199">
        <v>0</v>
      </c>
      <c r="G124" s="122">
        <v>567345</v>
      </c>
      <c r="H124" s="199">
        <v>0</v>
      </c>
      <c r="I124" s="199">
        <v>0</v>
      </c>
      <c r="J124" s="199">
        <v>0</v>
      </c>
      <c r="K124" s="122">
        <v>567345</v>
      </c>
    </row>
    <row r="125" spans="1:11" ht="15" customHeight="1" x14ac:dyDescent="0.2">
      <c r="A125" s="198" t="s">
        <v>180</v>
      </c>
      <c r="B125" s="37" t="s">
        <v>181</v>
      </c>
      <c r="C125" s="103">
        <v>298</v>
      </c>
      <c r="D125" s="103" t="s">
        <v>139</v>
      </c>
      <c r="E125" s="122">
        <v>278272</v>
      </c>
      <c r="F125" s="199">
        <v>0</v>
      </c>
      <c r="G125" s="122">
        <v>278272</v>
      </c>
      <c r="H125" s="199">
        <v>0</v>
      </c>
      <c r="I125" s="199">
        <v>0</v>
      </c>
      <c r="J125" s="199">
        <v>0</v>
      </c>
      <c r="K125" s="122">
        <v>278272</v>
      </c>
    </row>
    <row r="126" spans="1:11" ht="15" customHeight="1" x14ac:dyDescent="0.2">
      <c r="A126" s="198" t="s">
        <v>180</v>
      </c>
      <c r="B126" s="37" t="s">
        <v>181</v>
      </c>
      <c r="C126" s="103">
        <v>298</v>
      </c>
      <c r="D126" s="103" t="s">
        <v>140</v>
      </c>
      <c r="E126" s="122">
        <v>211658</v>
      </c>
      <c r="F126" s="199">
        <v>0</v>
      </c>
      <c r="G126" s="122">
        <v>211658</v>
      </c>
      <c r="H126" s="199">
        <v>0</v>
      </c>
      <c r="I126" s="199">
        <v>0</v>
      </c>
      <c r="J126" s="199">
        <v>0</v>
      </c>
      <c r="K126" s="122">
        <v>211658</v>
      </c>
    </row>
    <row r="127" spans="1:11" ht="15" customHeight="1" x14ac:dyDescent="0.2">
      <c r="A127" s="198" t="s">
        <v>180</v>
      </c>
      <c r="B127" s="37" t="s">
        <v>181</v>
      </c>
      <c r="C127" s="103">
        <v>298</v>
      </c>
      <c r="D127" s="103" t="s">
        <v>141</v>
      </c>
      <c r="E127" s="122">
        <v>188729</v>
      </c>
      <c r="F127" s="199">
        <v>0</v>
      </c>
      <c r="G127" s="122">
        <v>188729</v>
      </c>
      <c r="H127" s="199">
        <v>0</v>
      </c>
      <c r="I127" s="199">
        <v>0</v>
      </c>
      <c r="J127" s="199">
        <v>0</v>
      </c>
      <c r="K127" s="122">
        <v>188729</v>
      </c>
    </row>
    <row r="128" spans="1:11" ht="15" customHeight="1" x14ac:dyDescent="0.2">
      <c r="A128" s="79" t="s">
        <v>416</v>
      </c>
      <c r="B128" s="115" t="s">
        <v>457</v>
      </c>
      <c r="C128" s="115" t="s">
        <v>457</v>
      </c>
      <c r="D128" s="115" t="s">
        <v>457</v>
      </c>
      <c r="E128" s="117">
        <f>SUBTOTAL(109,local298[Program
Costs])</f>
        <v>27007408</v>
      </c>
      <c r="F128" s="204">
        <f>SUBTOTAL(109,local298[Less: Net
Payments 
and Offsets])</f>
        <v>0</v>
      </c>
      <c r="G128" s="117">
        <f>SUBTOTAL(109,local298[Accounts Payable
Balance])</f>
        <v>27007408</v>
      </c>
      <c r="H128" s="204">
        <f>SUBTOTAL(109,local298[Established
Accounts Receivable])</f>
        <v>0</v>
      </c>
      <c r="I128" s="204">
        <f>SUBTOTAL(109,local298[Less:
 Recovered
Amount])</f>
        <v>0</v>
      </c>
      <c r="J128" s="204">
        <f>SUBTOTAL(109,local298[Accounts Receivable
Balance])</f>
        <v>0</v>
      </c>
      <c r="K128" s="117">
        <f>SUBTOTAL(109,local298[Net
Balance])</f>
        <v>27007408</v>
      </c>
    </row>
    <row r="129" spans="1:11" ht="15.75" customHeight="1" x14ac:dyDescent="0.2">
      <c r="A129" s="296" t="s">
        <v>463</v>
      </c>
      <c r="B129" s="103"/>
      <c r="C129" s="130"/>
      <c r="D129" s="103"/>
      <c r="E129" s="297"/>
      <c r="F129" s="298"/>
      <c r="G129" s="297"/>
      <c r="H129" s="298"/>
      <c r="I129" s="298"/>
      <c r="J129" s="298"/>
      <c r="K129" s="297"/>
    </row>
    <row r="130" spans="1:11" ht="62.1" customHeight="1" x14ac:dyDescent="0.2">
      <c r="A130" s="40" t="s">
        <v>15</v>
      </c>
      <c r="B130" s="40" t="s">
        <v>16</v>
      </c>
      <c r="C130" s="40" t="s">
        <v>468</v>
      </c>
      <c r="D130" s="40" t="s">
        <v>1</v>
      </c>
      <c r="E130" s="230" t="s">
        <v>3</v>
      </c>
      <c r="F130" s="231" t="s">
        <v>469</v>
      </c>
      <c r="G130" s="230" t="s">
        <v>461</v>
      </c>
      <c r="H130" s="230" t="s">
        <v>460</v>
      </c>
      <c r="I130" s="230" t="s">
        <v>470</v>
      </c>
      <c r="J130" s="230" t="s">
        <v>458</v>
      </c>
      <c r="K130" s="230" t="s">
        <v>17</v>
      </c>
    </row>
    <row r="131" spans="1:11" ht="15" customHeight="1" x14ac:dyDescent="0.2">
      <c r="A131" s="198" t="s">
        <v>182</v>
      </c>
      <c r="B131" s="37" t="s">
        <v>183</v>
      </c>
      <c r="C131" s="103">
        <v>281</v>
      </c>
      <c r="D131" s="103" t="s">
        <v>13</v>
      </c>
      <c r="E131" s="122">
        <v>17935</v>
      </c>
      <c r="F131" s="199">
        <v>0</v>
      </c>
      <c r="G131" s="122">
        <v>17935</v>
      </c>
      <c r="H131" s="199">
        <v>0</v>
      </c>
      <c r="I131" s="199">
        <v>0</v>
      </c>
      <c r="J131" s="199">
        <v>0</v>
      </c>
      <c r="K131" s="122">
        <v>17935</v>
      </c>
    </row>
    <row r="132" spans="1:11" ht="15" customHeight="1" x14ac:dyDescent="0.2">
      <c r="A132" s="198" t="s">
        <v>182</v>
      </c>
      <c r="B132" s="37" t="s">
        <v>183</v>
      </c>
      <c r="C132" s="103">
        <v>281</v>
      </c>
      <c r="D132" s="103" t="s">
        <v>120</v>
      </c>
      <c r="E132" s="122">
        <v>383293</v>
      </c>
      <c r="F132" s="199">
        <v>0</v>
      </c>
      <c r="G132" s="122">
        <v>383293</v>
      </c>
      <c r="H132" s="199">
        <v>0</v>
      </c>
      <c r="I132" s="199">
        <v>0</v>
      </c>
      <c r="J132" s="199">
        <v>0</v>
      </c>
      <c r="K132" s="122">
        <v>383293</v>
      </c>
    </row>
    <row r="133" spans="1:11" s="229" customFormat="1" ht="15" customHeight="1" x14ac:dyDescent="0.2">
      <c r="A133" s="198" t="s">
        <v>182</v>
      </c>
      <c r="B133" s="37" t="s">
        <v>183</v>
      </c>
      <c r="C133" s="103">
        <v>281</v>
      </c>
      <c r="D133" s="103" t="s">
        <v>131</v>
      </c>
      <c r="E133" s="122">
        <v>681608</v>
      </c>
      <c r="F133" s="199">
        <v>0</v>
      </c>
      <c r="G133" s="122">
        <v>681608</v>
      </c>
      <c r="H133" s="199">
        <v>0</v>
      </c>
      <c r="I133" s="199">
        <v>0</v>
      </c>
      <c r="J133" s="199">
        <v>0</v>
      </c>
      <c r="K133" s="122">
        <v>681608</v>
      </c>
    </row>
    <row r="134" spans="1:11" ht="15" customHeight="1" x14ac:dyDescent="0.2">
      <c r="A134" s="198" t="s">
        <v>182</v>
      </c>
      <c r="B134" s="37" t="s">
        <v>183</v>
      </c>
      <c r="C134" s="103">
        <v>281</v>
      </c>
      <c r="D134" s="103" t="s">
        <v>136</v>
      </c>
      <c r="E134" s="122">
        <v>649974</v>
      </c>
      <c r="F134" s="199">
        <v>0</v>
      </c>
      <c r="G134" s="122">
        <v>649974</v>
      </c>
      <c r="H134" s="199">
        <v>0</v>
      </c>
      <c r="I134" s="199">
        <v>0</v>
      </c>
      <c r="J134" s="199">
        <v>0</v>
      </c>
      <c r="K134" s="122">
        <v>649974</v>
      </c>
    </row>
    <row r="135" spans="1:11" ht="15" customHeight="1" x14ac:dyDescent="0.2">
      <c r="A135" s="198" t="s">
        <v>182</v>
      </c>
      <c r="B135" s="37" t="s">
        <v>183</v>
      </c>
      <c r="C135" s="103">
        <v>281</v>
      </c>
      <c r="D135" s="103" t="s">
        <v>137</v>
      </c>
      <c r="E135" s="122">
        <v>680286</v>
      </c>
      <c r="F135" s="199">
        <v>0</v>
      </c>
      <c r="G135" s="122">
        <v>680286</v>
      </c>
      <c r="H135" s="199">
        <v>0</v>
      </c>
      <c r="I135" s="199">
        <v>0</v>
      </c>
      <c r="J135" s="199">
        <v>0</v>
      </c>
      <c r="K135" s="122">
        <v>680286</v>
      </c>
    </row>
    <row r="136" spans="1:11" ht="15" customHeight="1" x14ac:dyDescent="0.2">
      <c r="A136" s="198" t="s">
        <v>182</v>
      </c>
      <c r="B136" s="37" t="s">
        <v>183</v>
      </c>
      <c r="C136" s="103">
        <v>281</v>
      </c>
      <c r="D136" s="103" t="s">
        <v>138</v>
      </c>
      <c r="E136" s="122">
        <v>427477</v>
      </c>
      <c r="F136" s="199">
        <v>0</v>
      </c>
      <c r="G136" s="122">
        <v>427477</v>
      </c>
      <c r="H136" s="199">
        <v>0</v>
      </c>
      <c r="I136" s="199">
        <v>0</v>
      </c>
      <c r="J136" s="199">
        <v>0</v>
      </c>
      <c r="K136" s="122">
        <v>427477</v>
      </c>
    </row>
    <row r="137" spans="1:11" ht="15" customHeight="1" x14ac:dyDescent="0.2">
      <c r="A137" s="198" t="s">
        <v>182</v>
      </c>
      <c r="B137" s="37" t="s">
        <v>183</v>
      </c>
      <c r="C137" s="103">
        <v>281</v>
      </c>
      <c r="D137" s="103" t="s">
        <v>139</v>
      </c>
      <c r="E137" s="122">
        <v>446868</v>
      </c>
      <c r="F137" s="199">
        <v>0</v>
      </c>
      <c r="G137" s="122">
        <v>446868</v>
      </c>
      <c r="H137" s="199">
        <v>0</v>
      </c>
      <c r="I137" s="199">
        <v>0</v>
      </c>
      <c r="J137" s="199">
        <v>0</v>
      </c>
      <c r="K137" s="122">
        <v>446868</v>
      </c>
    </row>
    <row r="138" spans="1:11" ht="15" customHeight="1" x14ac:dyDescent="0.2">
      <c r="A138" s="198" t="s">
        <v>182</v>
      </c>
      <c r="B138" s="37" t="s">
        <v>183</v>
      </c>
      <c r="C138" s="103">
        <v>281</v>
      </c>
      <c r="D138" s="103" t="s">
        <v>140</v>
      </c>
      <c r="E138" s="122">
        <v>821319</v>
      </c>
      <c r="F138" s="199">
        <v>0</v>
      </c>
      <c r="G138" s="122">
        <v>821319</v>
      </c>
      <c r="H138" s="199">
        <v>0</v>
      </c>
      <c r="I138" s="199">
        <v>0</v>
      </c>
      <c r="J138" s="199">
        <v>0</v>
      </c>
      <c r="K138" s="122">
        <v>821319</v>
      </c>
    </row>
    <row r="139" spans="1:11" ht="15" customHeight="1" x14ac:dyDescent="0.2">
      <c r="A139" s="198" t="s">
        <v>182</v>
      </c>
      <c r="B139" s="37" t="s">
        <v>183</v>
      </c>
      <c r="C139" s="103">
        <v>281</v>
      </c>
      <c r="D139" s="103" t="s">
        <v>141</v>
      </c>
      <c r="E139" s="122">
        <v>565634</v>
      </c>
      <c r="F139" s="199">
        <v>0</v>
      </c>
      <c r="G139" s="122">
        <v>565634</v>
      </c>
      <c r="H139" s="199">
        <v>0</v>
      </c>
      <c r="I139" s="199">
        <v>0</v>
      </c>
      <c r="J139" s="199">
        <v>0</v>
      </c>
      <c r="K139" s="122">
        <v>565634</v>
      </c>
    </row>
    <row r="140" spans="1:11" ht="15" customHeight="1" x14ac:dyDescent="0.2">
      <c r="A140" s="198" t="s">
        <v>182</v>
      </c>
      <c r="B140" s="37" t="s">
        <v>183</v>
      </c>
      <c r="C140" s="103">
        <v>281</v>
      </c>
      <c r="D140" s="103" t="s">
        <v>144</v>
      </c>
      <c r="E140" s="122">
        <v>235446</v>
      </c>
      <c r="F140" s="199">
        <v>0</v>
      </c>
      <c r="G140" s="122">
        <v>235446</v>
      </c>
      <c r="H140" s="199">
        <v>0</v>
      </c>
      <c r="I140" s="199">
        <v>0</v>
      </c>
      <c r="J140" s="199">
        <v>0</v>
      </c>
      <c r="K140" s="122">
        <v>235446</v>
      </c>
    </row>
    <row r="141" spans="1:11" ht="15" customHeight="1" x14ac:dyDescent="0.2">
      <c r="A141" s="79" t="s">
        <v>417</v>
      </c>
      <c r="B141" s="115" t="s">
        <v>457</v>
      </c>
      <c r="C141" s="115" t="s">
        <v>457</v>
      </c>
      <c r="D141" s="115" t="s">
        <v>457</v>
      </c>
      <c r="E141" s="117">
        <f>SUBTOTAL(109,local281[Program
Costs])</f>
        <v>4909840</v>
      </c>
      <c r="F141" s="204">
        <f>SUBTOTAL(109,local281[Less: Net
Payments 
and Offsets])</f>
        <v>0</v>
      </c>
      <c r="G141" s="117">
        <f>SUBTOTAL(109,local281[Accounts Payable
Balance])</f>
        <v>4909840</v>
      </c>
      <c r="H141" s="204">
        <f>SUBTOTAL(109,local281[Established
Accounts Receivable])</f>
        <v>0</v>
      </c>
      <c r="I141" s="204">
        <f>SUBTOTAL(109,local281[Less:
 Recovered
Amount])</f>
        <v>0</v>
      </c>
      <c r="J141" s="204">
        <f>SUBTOTAL(109,local281[Accounts Receivable
Balance])</f>
        <v>0</v>
      </c>
      <c r="K141" s="117">
        <f>SUBTOTAL(109,local281[Net
Balance])</f>
        <v>4909840</v>
      </c>
    </row>
    <row r="142" spans="1:11" s="229" customFormat="1" ht="15.75" customHeight="1" x14ac:dyDescent="0.2">
      <c r="A142" s="296" t="s">
        <v>463</v>
      </c>
      <c r="B142" s="103"/>
      <c r="C142" s="130"/>
      <c r="D142" s="103"/>
      <c r="E142" s="297"/>
      <c r="F142" s="298"/>
      <c r="G142" s="297"/>
      <c r="H142" s="298"/>
      <c r="I142" s="298"/>
      <c r="J142" s="298"/>
      <c r="K142" s="297"/>
    </row>
    <row r="143" spans="1:11" ht="62.1" customHeight="1" x14ac:dyDescent="0.2">
      <c r="A143" s="40" t="s">
        <v>15</v>
      </c>
      <c r="B143" s="40" t="s">
        <v>16</v>
      </c>
      <c r="C143" s="40" t="s">
        <v>468</v>
      </c>
      <c r="D143" s="40" t="s">
        <v>1</v>
      </c>
      <c r="E143" s="230" t="s">
        <v>3</v>
      </c>
      <c r="F143" s="231" t="s">
        <v>469</v>
      </c>
      <c r="G143" s="230" t="s">
        <v>461</v>
      </c>
      <c r="H143" s="230" t="s">
        <v>460</v>
      </c>
      <c r="I143" s="230" t="s">
        <v>470</v>
      </c>
      <c r="J143" s="230" t="s">
        <v>458</v>
      </c>
      <c r="K143" s="230" t="s">
        <v>17</v>
      </c>
    </row>
    <row r="144" spans="1:11" ht="15" customHeight="1" x14ac:dyDescent="0.2">
      <c r="A144" s="198" t="s">
        <v>184</v>
      </c>
      <c r="B144" s="37" t="s">
        <v>185</v>
      </c>
      <c r="C144" s="103">
        <v>323</v>
      </c>
      <c r="D144" s="103" t="s">
        <v>70</v>
      </c>
      <c r="E144" s="122">
        <v>630042</v>
      </c>
      <c r="F144" s="199">
        <v>0</v>
      </c>
      <c r="G144" s="122">
        <v>630042</v>
      </c>
      <c r="H144" s="199">
        <v>0</v>
      </c>
      <c r="I144" s="199">
        <v>0</v>
      </c>
      <c r="J144" s="199">
        <v>0</v>
      </c>
      <c r="K144" s="122">
        <v>630042</v>
      </c>
    </row>
    <row r="145" spans="1:11" ht="15" customHeight="1" x14ac:dyDescent="0.2">
      <c r="A145" s="198" t="s">
        <v>184</v>
      </c>
      <c r="B145" s="37" t="s">
        <v>185</v>
      </c>
      <c r="C145" s="103">
        <v>323</v>
      </c>
      <c r="D145" s="103" t="s">
        <v>73</v>
      </c>
      <c r="E145" s="122">
        <v>2509</v>
      </c>
      <c r="F145" s="199">
        <v>0</v>
      </c>
      <c r="G145" s="122">
        <v>2509</v>
      </c>
      <c r="H145" s="199">
        <v>0</v>
      </c>
      <c r="I145" s="199">
        <v>0</v>
      </c>
      <c r="J145" s="199">
        <v>0</v>
      </c>
      <c r="K145" s="122">
        <v>2509</v>
      </c>
    </row>
    <row r="146" spans="1:11" ht="15" customHeight="1" x14ac:dyDescent="0.2">
      <c r="A146" s="198" t="s">
        <v>184</v>
      </c>
      <c r="B146" s="37" t="s">
        <v>185</v>
      </c>
      <c r="C146" s="103">
        <v>323</v>
      </c>
      <c r="D146" s="103" t="s">
        <v>13</v>
      </c>
      <c r="E146" s="122">
        <v>468288</v>
      </c>
      <c r="F146" s="199">
        <v>0</v>
      </c>
      <c r="G146" s="122">
        <v>468288</v>
      </c>
      <c r="H146" s="199">
        <v>0</v>
      </c>
      <c r="I146" s="199">
        <v>0</v>
      </c>
      <c r="J146" s="199">
        <v>0</v>
      </c>
      <c r="K146" s="122">
        <v>468288</v>
      </c>
    </row>
    <row r="147" spans="1:11" ht="15" customHeight="1" x14ac:dyDescent="0.2">
      <c r="A147" s="198" t="s">
        <v>184</v>
      </c>
      <c r="B147" s="37" t="s">
        <v>185</v>
      </c>
      <c r="C147" s="103">
        <v>323</v>
      </c>
      <c r="D147" s="103" t="s">
        <v>131</v>
      </c>
      <c r="E147" s="122">
        <v>321317</v>
      </c>
      <c r="F147" s="199">
        <v>0</v>
      </c>
      <c r="G147" s="122">
        <v>321317</v>
      </c>
      <c r="H147" s="199">
        <v>0</v>
      </c>
      <c r="I147" s="199">
        <v>0</v>
      </c>
      <c r="J147" s="199">
        <v>0</v>
      </c>
      <c r="K147" s="122">
        <v>321317</v>
      </c>
    </row>
    <row r="148" spans="1:11" ht="15" customHeight="1" x14ac:dyDescent="0.2">
      <c r="A148" s="198" t="s">
        <v>184</v>
      </c>
      <c r="B148" s="37" t="s">
        <v>185</v>
      </c>
      <c r="C148" s="103">
        <v>323</v>
      </c>
      <c r="D148" s="103" t="s">
        <v>137</v>
      </c>
      <c r="E148" s="122">
        <v>224217</v>
      </c>
      <c r="F148" s="199">
        <v>0</v>
      </c>
      <c r="G148" s="122">
        <v>224217</v>
      </c>
      <c r="H148" s="199">
        <v>0</v>
      </c>
      <c r="I148" s="199">
        <v>0</v>
      </c>
      <c r="J148" s="199">
        <v>0</v>
      </c>
      <c r="K148" s="122">
        <v>224217</v>
      </c>
    </row>
    <row r="149" spans="1:11" ht="15" customHeight="1" x14ac:dyDescent="0.2">
      <c r="A149" s="198" t="s">
        <v>184</v>
      </c>
      <c r="B149" s="37" t="s">
        <v>185</v>
      </c>
      <c r="C149" s="103">
        <v>323</v>
      </c>
      <c r="D149" s="103" t="s">
        <v>139</v>
      </c>
      <c r="E149" s="122">
        <v>138065</v>
      </c>
      <c r="F149" s="199">
        <v>0</v>
      </c>
      <c r="G149" s="122">
        <v>138065</v>
      </c>
      <c r="H149" s="199">
        <v>0</v>
      </c>
      <c r="I149" s="199">
        <v>0</v>
      </c>
      <c r="J149" s="199">
        <v>0</v>
      </c>
      <c r="K149" s="122">
        <v>138065</v>
      </c>
    </row>
    <row r="150" spans="1:11" ht="15" customHeight="1" x14ac:dyDescent="0.2">
      <c r="A150" s="198" t="s">
        <v>184</v>
      </c>
      <c r="B150" s="37" t="s">
        <v>185</v>
      </c>
      <c r="C150" s="103">
        <v>323</v>
      </c>
      <c r="D150" s="103" t="s">
        <v>141</v>
      </c>
      <c r="E150" s="122">
        <v>32181</v>
      </c>
      <c r="F150" s="199">
        <v>0</v>
      </c>
      <c r="G150" s="122">
        <v>32181</v>
      </c>
      <c r="H150" s="199">
        <v>0</v>
      </c>
      <c r="I150" s="199">
        <v>0</v>
      </c>
      <c r="J150" s="199">
        <v>0</v>
      </c>
      <c r="K150" s="122">
        <v>32181</v>
      </c>
    </row>
    <row r="151" spans="1:11" ht="15" customHeight="1" x14ac:dyDescent="0.2">
      <c r="A151" s="79" t="s">
        <v>418</v>
      </c>
      <c r="B151" s="115" t="s">
        <v>457</v>
      </c>
      <c r="C151" s="115" t="s">
        <v>457</v>
      </c>
      <c r="D151" s="115" t="s">
        <v>457</v>
      </c>
      <c r="E151" s="117">
        <f>SUBTOTAL(109,local323[Program
Costs])</f>
        <v>1816619</v>
      </c>
      <c r="F151" s="204">
        <f>SUBTOTAL(109,local323[Less: Net
Payments 
and Offsets])</f>
        <v>0</v>
      </c>
      <c r="G151" s="117">
        <f>SUBTOTAL(109,local323[Accounts Payable
Balance])</f>
        <v>1816619</v>
      </c>
      <c r="H151" s="204">
        <f>SUBTOTAL(109,local323[Established
Accounts Receivable])</f>
        <v>0</v>
      </c>
      <c r="I151" s="204">
        <f>SUBTOTAL(109,local323[Less:
 Recovered
Amount])</f>
        <v>0</v>
      </c>
      <c r="J151" s="204">
        <f>SUBTOTAL(109,local323[Accounts Receivable
Balance])</f>
        <v>0</v>
      </c>
      <c r="K151" s="117">
        <f>SUBTOTAL(109,local323[Net
Balance])</f>
        <v>1816619</v>
      </c>
    </row>
    <row r="152" spans="1:11" ht="15.75" customHeight="1" x14ac:dyDescent="0.2">
      <c r="A152" s="296" t="s">
        <v>463</v>
      </c>
      <c r="B152" s="103"/>
      <c r="C152" s="130"/>
      <c r="D152" s="103"/>
      <c r="E152" s="297"/>
      <c r="F152" s="298"/>
      <c r="G152" s="297"/>
      <c r="H152" s="298"/>
      <c r="I152" s="298"/>
      <c r="J152" s="298"/>
      <c r="K152" s="297"/>
    </row>
    <row r="153" spans="1:11" ht="62.1" customHeight="1" x14ac:dyDescent="0.2">
      <c r="A153" s="40" t="s">
        <v>15</v>
      </c>
      <c r="B153" s="40" t="s">
        <v>16</v>
      </c>
      <c r="C153" s="40" t="s">
        <v>468</v>
      </c>
      <c r="D153" s="40" t="s">
        <v>1</v>
      </c>
      <c r="E153" s="230" t="s">
        <v>3</v>
      </c>
      <c r="F153" s="231" t="s">
        <v>469</v>
      </c>
      <c r="G153" s="230" t="s">
        <v>461</v>
      </c>
      <c r="H153" s="230" t="s">
        <v>460</v>
      </c>
      <c r="I153" s="230" t="s">
        <v>470</v>
      </c>
      <c r="J153" s="230" t="s">
        <v>458</v>
      </c>
      <c r="K153" s="230" t="s">
        <v>17</v>
      </c>
    </row>
    <row r="154" spans="1:11" ht="15" customHeight="1" x14ac:dyDescent="0.2">
      <c r="A154" s="198" t="s">
        <v>190</v>
      </c>
      <c r="B154" s="37" t="s">
        <v>48</v>
      </c>
      <c r="C154" s="103">
        <v>356</v>
      </c>
      <c r="D154" s="103" t="s">
        <v>589</v>
      </c>
      <c r="E154" s="122">
        <v>763760</v>
      </c>
      <c r="F154" s="199">
        <v>0</v>
      </c>
      <c r="G154" s="122">
        <v>763760</v>
      </c>
      <c r="H154" s="199">
        <v>0</v>
      </c>
      <c r="I154" s="199">
        <v>0</v>
      </c>
      <c r="J154" s="199">
        <v>0</v>
      </c>
      <c r="K154" s="122">
        <v>763760</v>
      </c>
    </row>
    <row r="155" spans="1:11" ht="15" customHeight="1" x14ac:dyDescent="0.2">
      <c r="A155" s="198" t="s">
        <v>190</v>
      </c>
      <c r="B155" s="37" t="s">
        <v>48</v>
      </c>
      <c r="C155" s="103">
        <v>356</v>
      </c>
      <c r="D155" s="103" t="s">
        <v>425</v>
      </c>
      <c r="E155" s="122">
        <v>756164</v>
      </c>
      <c r="F155" s="199">
        <v>0</v>
      </c>
      <c r="G155" s="122">
        <v>756164</v>
      </c>
      <c r="H155" s="199">
        <v>0</v>
      </c>
      <c r="I155" s="199">
        <v>0</v>
      </c>
      <c r="J155" s="199">
        <v>0</v>
      </c>
      <c r="K155" s="122">
        <v>756164</v>
      </c>
    </row>
    <row r="156" spans="1:11" ht="15" customHeight="1" x14ac:dyDescent="0.2">
      <c r="A156" s="198" t="s">
        <v>190</v>
      </c>
      <c r="B156" s="37" t="s">
        <v>48</v>
      </c>
      <c r="C156" s="103">
        <v>356</v>
      </c>
      <c r="D156" s="103" t="s">
        <v>18</v>
      </c>
      <c r="E156" s="122">
        <v>639275</v>
      </c>
      <c r="F156" s="199">
        <v>0</v>
      </c>
      <c r="G156" s="122">
        <v>639275</v>
      </c>
      <c r="H156" s="199">
        <v>0</v>
      </c>
      <c r="I156" s="199">
        <v>0</v>
      </c>
      <c r="J156" s="199">
        <v>0</v>
      </c>
      <c r="K156" s="122">
        <v>639275</v>
      </c>
    </row>
    <row r="157" spans="1:11" ht="15" customHeight="1" x14ac:dyDescent="0.2">
      <c r="A157" s="198" t="s">
        <v>190</v>
      </c>
      <c r="B157" s="37" t="s">
        <v>48</v>
      </c>
      <c r="C157" s="103">
        <v>356</v>
      </c>
      <c r="D157" s="103" t="s">
        <v>63</v>
      </c>
      <c r="E157" s="122">
        <v>663952</v>
      </c>
      <c r="F157" s="199">
        <v>0</v>
      </c>
      <c r="G157" s="122">
        <v>663952</v>
      </c>
      <c r="H157" s="199">
        <v>0</v>
      </c>
      <c r="I157" s="199">
        <v>0</v>
      </c>
      <c r="J157" s="199">
        <v>0</v>
      </c>
      <c r="K157" s="122">
        <v>663952</v>
      </c>
    </row>
    <row r="158" spans="1:11" ht="15" customHeight="1" x14ac:dyDescent="0.2">
      <c r="A158" s="198" t="s">
        <v>190</v>
      </c>
      <c r="B158" s="37" t="s">
        <v>48</v>
      </c>
      <c r="C158" s="103">
        <v>356</v>
      </c>
      <c r="D158" s="103" t="s">
        <v>64</v>
      </c>
      <c r="E158" s="122">
        <v>669653</v>
      </c>
      <c r="F158" s="199">
        <v>0</v>
      </c>
      <c r="G158" s="122">
        <v>669653</v>
      </c>
      <c r="H158" s="199">
        <v>0</v>
      </c>
      <c r="I158" s="199">
        <v>0</v>
      </c>
      <c r="J158" s="199">
        <v>0</v>
      </c>
      <c r="K158" s="122">
        <v>669653</v>
      </c>
    </row>
    <row r="159" spans="1:11" ht="15" customHeight="1" x14ac:dyDescent="0.2">
      <c r="A159" s="198" t="s">
        <v>190</v>
      </c>
      <c r="B159" s="37" t="s">
        <v>48</v>
      </c>
      <c r="C159" s="103">
        <v>356</v>
      </c>
      <c r="D159" s="103" t="s">
        <v>65</v>
      </c>
      <c r="E159" s="122">
        <v>618356</v>
      </c>
      <c r="F159" s="199">
        <v>0</v>
      </c>
      <c r="G159" s="122">
        <v>618356</v>
      </c>
      <c r="H159" s="199">
        <v>0</v>
      </c>
      <c r="I159" s="199">
        <v>0</v>
      </c>
      <c r="J159" s="199">
        <v>0</v>
      </c>
      <c r="K159" s="122">
        <v>618356</v>
      </c>
    </row>
    <row r="160" spans="1:11" ht="15" customHeight="1" x14ac:dyDescent="0.2">
      <c r="A160" s="198" t="s">
        <v>190</v>
      </c>
      <c r="B160" s="37" t="s">
        <v>48</v>
      </c>
      <c r="C160" s="103">
        <v>356</v>
      </c>
      <c r="D160" s="103" t="s">
        <v>66</v>
      </c>
      <c r="E160" s="122">
        <v>538204</v>
      </c>
      <c r="F160" s="199">
        <v>0</v>
      </c>
      <c r="G160" s="122">
        <v>538204</v>
      </c>
      <c r="H160" s="199">
        <v>0</v>
      </c>
      <c r="I160" s="199">
        <v>0</v>
      </c>
      <c r="J160" s="199">
        <v>0</v>
      </c>
      <c r="K160" s="122">
        <v>538204</v>
      </c>
    </row>
    <row r="161" spans="1:11" ht="15" customHeight="1" x14ac:dyDescent="0.2">
      <c r="A161" s="198" t="s">
        <v>190</v>
      </c>
      <c r="B161" s="37" t="s">
        <v>48</v>
      </c>
      <c r="C161" s="103">
        <v>356</v>
      </c>
      <c r="D161" s="103" t="s">
        <v>67</v>
      </c>
      <c r="E161" s="122">
        <v>501396</v>
      </c>
      <c r="F161" s="199">
        <v>0</v>
      </c>
      <c r="G161" s="122">
        <v>501396</v>
      </c>
      <c r="H161" s="199">
        <v>0</v>
      </c>
      <c r="I161" s="199">
        <v>0</v>
      </c>
      <c r="J161" s="199">
        <v>0</v>
      </c>
      <c r="K161" s="122">
        <v>501396</v>
      </c>
    </row>
    <row r="162" spans="1:11" s="229" customFormat="1" ht="15" customHeight="1" x14ac:dyDescent="0.2">
      <c r="A162" s="198" t="s">
        <v>190</v>
      </c>
      <c r="B162" s="37" t="s">
        <v>48</v>
      </c>
      <c r="C162" s="103">
        <v>356</v>
      </c>
      <c r="D162" s="103" t="s">
        <v>68</v>
      </c>
      <c r="E162" s="122">
        <v>517346</v>
      </c>
      <c r="F162" s="199">
        <v>0</v>
      </c>
      <c r="G162" s="122">
        <v>517346</v>
      </c>
      <c r="H162" s="199">
        <v>0</v>
      </c>
      <c r="I162" s="199">
        <v>0</v>
      </c>
      <c r="J162" s="199">
        <v>0</v>
      </c>
      <c r="K162" s="122">
        <v>517346</v>
      </c>
    </row>
    <row r="163" spans="1:11" ht="15" customHeight="1" x14ac:dyDescent="0.2">
      <c r="A163" s="198" t="s">
        <v>190</v>
      </c>
      <c r="B163" s="37" t="s">
        <v>48</v>
      </c>
      <c r="C163" s="103">
        <v>356</v>
      </c>
      <c r="D163" s="103" t="s">
        <v>69</v>
      </c>
      <c r="E163" s="122">
        <v>411975</v>
      </c>
      <c r="F163" s="199">
        <v>0</v>
      </c>
      <c r="G163" s="122">
        <v>411975</v>
      </c>
      <c r="H163" s="199">
        <v>0</v>
      </c>
      <c r="I163" s="199">
        <v>0</v>
      </c>
      <c r="J163" s="199">
        <v>0</v>
      </c>
      <c r="K163" s="122">
        <v>411975</v>
      </c>
    </row>
    <row r="164" spans="1:11" ht="15" customHeight="1" x14ac:dyDescent="0.2">
      <c r="A164" s="198" t="s">
        <v>190</v>
      </c>
      <c r="B164" s="37" t="s">
        <v>48</v>
      </c>
      <c r="C164" s="103">
        <v>356</v>
      </c>
      <c r="D164" s="103" t="s">
        <v>70</v>
      </c>
      <c r="E164" s="122">
        <v>369012</v>
      </c>
      <c r="F164" s="199">
        <v>0</v>
      </c>
      <c r="G164" s="122">
        <v>369012</v>
      </c>
      <c r="H164" s="199">
        <v>0</v>
      </c>
      <c r="I164" s="199">
        <v>0</v>
      </c>
      <c r="J164" s="199">
        <v>0</v>
      </c>
      <c r="K164" s="122">
        <v>369012</v>
      </c>
    </row>
    <row r="165" spans="1:11" ht="15" customHeight="1" x14ac:dyDescent="0.2">
      <c r="A165" s="198" t="s">
        <v>190</v>
      </c>
      <c r="B165" s="37" t="s">
        <v>48</v>
      </c>
      <c r="C165" s="103">
        <v>356</v>
      </c>
      <c r="D165" s="103" t="s">
        <v>73</v>
      </c>
      <c r="E165" s="122">
        <v>339391</v>
      </c>
      <c r="F165" s="199">
        <v>0</v>
      </c>
      <c r="G165" s="122">
        <v>339391</v>
      </c>
      <c r="H165" s="199">
        <v>0</v>
      </c>
      <c r="I165" s="199">
        <v>0</v>
      </c>
      <c r="J165" s="199">
        <v>0</v>
      </c>
      <c r="K165" s="122">
        <v>339391</v>
      </c>
    </row>
    <row r="166" spans="1:11" ht="15" customHeight="1" x14ac:dyDescent="0.2">
      <c r="A166" s="198" t="s">
        <v>190</v>
      </c>
      <c r="B166" s="37" t="s">
        <v>48</v>
      </c>
      <c r="C166" s="103">
        <v>356</v>
      </c>
      <c r="D166" s="103" t="s">
        <v>13</v>
      </c>
      <c r="E166" s="122">
        <v>418145</v>
      </c>
      <c r="F166" s="199">
        <v>0</v>
      </c>
      <c r="G166" s="122">
        <v>418145</v>
      </c>
      <c r="H166" s="199">
        <v>0</v>
      </c>
      <c r="I166" s="199">
        <v>0</v>
      </c>
      <c r="J166" s="199">
        <v>0</v>
      </c>
      <c r="K166" s="122">
        <v>418145</v>
      </c>
    </row>
    <row r="167" spans="1:11" ht="15" customHeight="1" x14ac:dyDescent="0.2">
      <c r="A167" s="198" t="s">
        <v>190</v>
      </c>
      <c r="B167" s="37" t="s">
        <v>48</v>
      </c>
      <c r="C167" s="103">
        <v>356</v>
      </c>
      <c r="D167" s="103" t="s">
        <v>120</v>
      </c>
      <c r="E167" s="122">
        <v>361937</v>
      </c>
      <c r="F167" s="199">
        <v>0</v>
      </c>
      <c r="G167" s="122">
        <v>361937</v>
      </c>
      <c r="H167" s="199">
        <v>0</v>
      </c>
      <c r="I167" s="199">
        <v>0</v>
      </c>
      <c r="J167" s="199">
        <v>0</v>
      </c>
      <c r="K167" s="122">
        <v>361937</v>
      </c>
    </row>
    <row r="168" spans="1:11" ht="15" customHeight="1" x14ac:dyDescent="0.2">
      <c r="A168" s="198" t="s">
        <v>190</v>
      </c>
      <c r="B168" s="37" t="s">
        <v>48</v>
      </c>
      <c r="C168" s="103">
        <v>356</v>
      </c>
      <c r="D168" s="103" t="s">
        <v>131</v>
      </c>
      <c r="E168" s="122">
        <v>268931</v>
      </c>
      <c r="F168" s="199">
        <v>0</v>
      </c>
      <c r="G168" s="122">
        <v>268931</v>
      </c>
      <c r="H168" s="199">
        <v>0</v>
      </c>
      <c r="I168" s="199">
        <v>0</v>
      </c>
      <c r="J168" s="199">
        <v>0</v>
      </c>
      <c r="K168" s="122">
        <v>268931</v>
      </c>
    </row>
    <row r="169" spans="1:11" ht="15" customHeight="1" x14ac:dyDescent="0.2">
      <c r="A169" s="198" t="s">
        <v>190</v>
      </c>
      <c r="B169" s="37" t="s">
        <v>48</v>
      </c>
      <c r="C169" s="103">
        <v>356</v>
      </c>
      <c r="D169" s="103" t="s">
        <v>136</v>
      </c>
      <c r="E169" s="122">
        <v>361066</v>
      </c>
      <c r="F169" s="199">
        <v>0</v>
      </c>
      <c r="G169" s="122">
        <v>361066</v>
      </c>
      <c r="H169" s="199">
        <v>0</v>
      </c>
      <c r="I169" s="199">
        <v>0</v>
      </c>
      <c r="J169" s="199">
        <v>0</v>
      </c>
      <c r="K169" s="122">
        <v>361066</v>
      </c>
    </row>
    <row r="170" spans="1:11" ht="15" customHeight="1" x14ac:dyDescent="0.2">
      <c r="A170" s="198" t="s">
        <v>190</v>
      </c>
      <c r="B170" s="37" t="s">
        <v>48</v>
      </c>
      <c r="C170" s="103">
        <v>356</v>
      </c>
      <c r="D170" s="103" t="s">
        <v>137</v>
      </c>
      <c r="E170" s="122">
        <v>271154</v>
      </c>
      <c r="F170" s="199">
        <v>0</v>
      </c>
      <c r="G170" s="122">
        <v>271154</v>
      </c>
      <c r="H170" s="199">
        <v>0</v>
      </c>
      <c r="I170" s="199">
        <v>0</v>
      </c>
      <c r="J170" s="199">
        <v>0</v>
      </c>
      <c r="K170" s="122">
        <v>271154</v>
      </c>
    </row>
    <row r="171" spans="1:11" ht="15" customHeight="1" x14ac:dyDescent="0.2">
      <c r="A171" s="198" t="s">
        <v>190</v>
      </c>
      <c r="B171" s="37" t="s">
        <v>48</v>
      </c>
      <c r="C171" s="103">
        <v>356</v>
      </c>
      <c r="D171" s="103" t="s">
        <v>138</v>
      </c>
      <c r="E171" s="122">
        <v>298172</v>
      </c>
      <c r="F171" s="199">
        <v>0</v>
      </c>
      <c r="G171" s="122">
        <v>298172</v>
      </c>
      <c r="H171" s="199">
        <v>0</v>
      </c>
      <c r="I171" s="199">
        <v>0</v>
      </c>
      <c r="J171" s="199">
        <v>0</v>
      </c>
      <c r="K171" s="122">
        <v>298172</v>
      </c>
    </row>
    <row r="172" spans="1:11" ht="15" customHeight="1" x14ac:dyDescent="0.2">
      <c r="A172" s="198" t="s">
        <v>190</v>
      </c>
      <c r="B172" s="37" t="s">
        <v>48</v>
      </c>
      <c r="C172" s="103">
        <v>356</v>
      </c>
      <c r="D172" s="103" t="s">
        <v>139</v>
      </c>
      <c r="E172" s="122">
        <v>241835</v>
      </c>
      <c r="F172" s="199">
        <v>0</v>
      </c>
      <c r="G172" s="122">
        <v>241835</v>
      </c>
      <c r="H172" s="199">
        <v>0</v>
      </c>
      <c r="I172" s="199">
        <v>0</v>
      </c>
      <c r="J172" s="199">
        <v>0</v>
      </c>
      <c r="K172" s="122">
        <v>241835</v>
      </c>
    </row>
    <row r="173" spans="1:11" ht="15" customHeight="1" x14ac:dyDescent="0.2">
      <c r="A173" s="198" t="s">
        <v>190</v>
      </c>
      <c r="B173" s="37" t="s">
        <v>48</v>
      </c>
      <c r="C173" s="103">
        <v>356</v>
      </c>
      <c r="D173" s="103" t="s">
        <v>140</v>
      </c>
      <c r="E173" s="122">
        <v>224328</v>
      </c>
      <c r="F173" s="199">
        <v>0</v>
      </c>
      <c r="G173" s="122">
        <v>224328</v>
      </c>
      <c r="H173" s="199">
        <v>0</v>
      </c>
      <c r="I173" s="199">
        <v>0</v>
      </c>
      <c r="J173" s="199">
        <v>0</v>
      </c>
      <c r="K173" s="122">
        <v>224328</v>
      </c>
    </row>
    <row r="174" spans="1:11" ht="15" customHeight="1" x14ac:dyDescent="0.2">
      <c r="A174" s="79" t="s">
        <v>419</v>
      </c>
      <c r="B174" s="115" t="s">
        <v>457</v>
      </c>
      <c r="C174" s="115" t="s">
        <v>457</v>
      </c>
      <c r="D174" s="115" t="s">
        <v>457</v>
      </c>
      <c r="E174" s="117">
        <f>SUBTOTAL(109,local356[Program
Costs])</f>
        <v>9234052</v>
      </c>
      <c r="F174" s="204">
        <f>SUBTOTAL(109,local356[Less: Net
Payments 
and Offsets])</f>
        <v>0</v>
      </c>
      <c r="G174" s="117">
        <f>SUBTOTAL(109,local356[Accounts Payable
Balance])</f>
        <v>9234052</v>
      </c>
      <c r="H174" s="204">
        <f>SUBTOTAL(109,local356[Established
Accounts Receivable])</f>
        <v>0</v>
      </c>
      <c r="I174" s="204">
        <f>SUBTOTAL(109,local356[Less:
 Recovered
Amount])</f>
        <v>0</v>
      </c>
      <c r="J174" s="204">
        <f>SUBTOTAL(109,local356[Accounts Receivable
Balance])</f>
        <v>0</v>
      </c>
      <c r="K174" s="117">
        <f>SUBTOTAL(109,local356[Net
Balance])</f>
        <v>9234052</v>
      </c>
    </row>
    <row r="175" spans="1:11" ht="15.75" customHeight="1" x14ac:dyDescent="0.2">
      <c r="A175" s="296" t="s">
        <v>463</v>
      </c>
      <c r="B175" s="103"/>
      <c r="C175" s="130"/>
      <c r="D175" s="103"/>
      <c r="E175" s="297"/>
      <c r="F175" s="298"/>
      <c r="G175" s="297"/>
      <c r="H175" s="298"/>
      <c r="I175" s="298"/>
      <c r="J175" s="298"/>
      <c r="K175" s="297"/>
    </row>
    <row r="176" spans="1:11" ht="62.1" customHeight="1" x14ac:dyDescent="0.2">
      <c r="A176" s="40" t="s">
        <v>15</v>
      </c>
      <c r="B176" s="40" t="s">
        <v>16</v>
      </c>
      <c r="C176" s="40" t="s">
        <v>468</v>
      </c>
      <c r="D176" s="40" t="s">
        <v>1</v>
      </c>
      <c r="E176" s="230" t="s">
        <v>3</v>
      </c>
      <c r="F176" s="231" t="s">
        <v>469</v>
      </c>
      <c r="G176" s="230" t="s">
        <v>461</v>
      </c>
      <c r="H176" s="230" t="s">
        <v>460</v>
      </c>
      <c r="I176" s="230" t="s">
        <v>470</v>
      </c>
      <c r="J176" s="230" t="s">
        <v>458</v>
      </c>
      <c r="K176" s="230" t="s">
        <v>17</v>
      </c>
    </row>
    <row r="177" spans="1:11" ht="15" customHeight="1" x14ac:dyDescent="0.2">
      <c r="A177" s="198" t="s">
        <v>191</v>
      </c>
      <c r="B177" s="37" t="s">
        <v>192</v>
      </c>
      <c r="C177" s="103">
        <v>324</v>
      </c>
      <c r="D177" s="103" t="s">
        <v>69</v>
      </c>
      <c r="E177" s="122">
        <v>5284437</v>
      </c>
      <c r="F177" s="199">
        <v>0</v>
      </c>
      <c r="G177" s="122">
        <v>5284437</v>
      </c>
      <c r="H177" s="199">
        <v>0</v>
      </c>
      <c r="I177" s="199">
        <v>0</v>
      </c>
      <c r="J177" s="199">
        <v>0</v>
      </c>
      <c r="K177" s="122">
        <v>5284437</v>
      </c>
    </row>
    <row r="178" spans="1:11" ht="15" customHeight="1" x14ac:dyDescent="0.2">
      <c r="A178" s="198" t="s">
        <v>191</v>
      </c>
      <c r="B178" s="37" t="s">
        <v>192</v>
      </c>
      <c r="C178" s="103">
        <v>324</v>
      </c>
      <c r="D178" s="103" t="s">
        <v>70</v>
      </c>
      <c r="E178" s="122">
        <v>4156834</v>
      </c>
      <c r="F178" s="199">
        <v>0</v>
      </c>
      <c r="G178" s="122">
        <v>4156834</v>
      </c>
      <c r="H178" s="199">
        <v>0</v>
      </c>
      <c r="I178" s="199">
        <v>0</v>
      </c>
      <c r="J178" s="199">
        <v>0</v>
      </c>
      <c r="K178" s="122">
        <v>4156834</v>
      </c>
    </row>
    <row r="179" spans="1:11" ht="15" customHeight="1" x14ac:dyDescent="0.2">
      <c r="A179" s="198" t="s">
        <v>191</v>
      </c>
      <c r="B179" s="37" t="s">
        <v>192</v>
      </c>
      <c r="C179" s="103">
        <v>324</v>
      </c>
      <c r="D179" s="103" t="s">
        <v>73</v>
      </c>
      <c r="E179" s="122">
        <v>2038396</v>
      </c>
      <c r="F179" s="199">
        <v>0</v>
      </c>
      <c r="G179" s="122">
        <v>2038396</v>
      </c>
      <c r="H179" s="199">
        <v>0</v>
      </c>
      <c r="I179" s="199">
        <v>0</v>
      </c>
      <c r="J179" s="199">
        <v>0</v>
      </c>
      <c r="K179" s="122">
        <v>2038396</v>
      </c>
    </row>
    <row r="180" spans="1:11" s="229" customFormat="1" ht="15" customHeight="1" x14ac:dyDescent="0.2">
      <c r="A180" s="198" t="s">
        <v>191</v>
      </c>
      <c r="B180" s="37" t="s">
        <v>192</v>
      </c>
      <c r="C180" s="103">
        <v>324</v>
      </c>
      <c r="D180" s="103" t="s">
        <v>13</v>
      </c>
      <c r="E180" s="122">
        <v>121578</v>
      </c>
      <c r="F180" s="199">
        <v>0</v>
      </c>
      <c r="G180" s="122">
        <v>121578</v>
      </c>
      <c r="H180" s="199">
        <v>0</v>
      </c>
      <c r="I180" s="199">
        <v>0</v>
      </c>
      <c r="J180" s="199">
        <v>0</v>
      </c>
      <c r="K180" s="122">
        <v>121578</v>
      </c>
    </row>
    <row r="181" spans="1:11" ht="15" customHeight="1" x14ac:dyDescent="0.2">
      <c r="A181" s="198" t="s">
        <v>191</v>
      </c>
      <c r="B181" s="37" t="s">
        <v>192</v>
      </c>
      <c r="C181" s="103">
        <v>324</v>
      </c>
      <c r="D181" s="103" t="s">
        <v>120</v>
      </c>
      <c r="E181" s="122">
        <v>191573</v>
      </c>
      <c r="F181" s="199">
        <v>0</v>
      </c>
      <c r="G181" s="122">
        <v>191573</v>
      </c>
      <c r="H181" s="199">
        <v>0</v>
      </c>
      <c r="I181" s="199">
        <v>0</v>
      </c>
      <c r="J181" s="199">
        <v>0</v>
      </c>
      <c r="K181" s="122">
        <v>191573</v>
      </c>
    </row>
    <row r="182" spans="1:11" ht="15" customHeight="1" x14ac:dyDescent="0.2">
      <c r="A182" s="198" t="s">
        <v>191</v>
      </c>
      <c r="B182" s="37" t="s">
        <v>192</v>
      </c>
      <c r="C182" s="103">
        <v>324</v>
      </c>
      <c r="D182" s="103" t="s">
        <v>131</v>
      </c>
      <c r="E182" s="122">
        <v>18688</v>
      </c>
      <c r="F182" s="199">
        <v>0</v>
      </c>
      <c r="G182" s="122">
        <v>18688</v>
      </c>
      <c r="H182" s="199">
        <v>0</v>
      </c>
      <c r="I182" s="199">
        <v>0</v>
      </c>
      <c r="J182" s="199">
        <v>0</v>
      </c>
      <c r="K182" s="122">
        <v>18688</v>
      </c>
    </row>
    <row r="183" spans="1:11" ht="15" customHeight="1" x14ac:dyDescent="0.2">
      <c r="A183" s="198" t="s">
        <v>191</v>
      </c>
      <c r="B183" s="37" t="s">
        <v>192</v>
      </c>
      <c r="C183" s="103">
        <v>324</v>
      </c>
      <c r="D183" s="103" t="s">
        <v>136</v>
      </c>
      <c r="E183" s="122">
        <v>24807</v>
      </c>
      <c r="F183" s="199">
        <v>0</v>
      </c>
      <c r="G183" s="122">
        <v>24807</v>
      </c>
      <c r="H183" s="199">
        <v>0</v>
      </c>
      <c r="I183" s="199">
        <v>0</v>
      </c>
      <c r="J183" s="199">
        <v>0</v>
      </c>
      <c r="K183" s="122">
        <v>24807</v>
      </c>
    </row>
    <row r="184" spans="1:11" s="229" customFormat="1" ht="15" customHeight="1" x14ac:dyDescent="0.2">
      <c r="A184" s="198" t="s">
        <v>191</v>
      </c>
      <c r="B184" s="37" t="s">
        <v>192</v>
      </c>
      <c r="C184" s="103">
        <v>324</v>
      </c>
      <c r="D184" s="103" t="s">
        <v>137</v>
      </c>
      <c r="E184" s="122">
        <v>21868</v>
      </c>
      <c r="F184" s="199">
        <v>0</v>
      </c>
      <c r="G184" s="122">
        <v>21868</v>
      </c>
      <c r="H184" s="199">
        <v>0</v>
      </c>
      <c r="I184" s="199">
        <v>0</v>
      </c>
      <c r="J184" s="199">
        <v>0</v>
      </c>
      <c r="K184" s="122">
        <v>21868</v>
      </c>
    </row>
    <row r="185" spans="1:11" ht="15" customHeight="1" x14ac:dyDescent="0.2">
      <c r="A185" s="198" t="s">
        <v>191</v>
      </c>
      <c r="B185" s="37" t="s">
        <v>192</v>
      </c>
      <c r="C185" s="103">
        <v>324</v>
      </c>
      <c r="D185" s="103" t="s">
        <v>138</v>
      </c>
      <c r="E185" s="122">
        <v>24382</v>
      </c>
      <c r="F185" s="199">
        <v>0</v>
      </c>
      <c r="G185" s="122">
        <v>24382</v>
      </c>
      <c r="H185" s="199">
        <v>0</v>
      </c>
      <c r="I185" s="199">
        <v>0</v>
      </c>
      <c r="J185" s="199">
        <v>0</v>
      </c>
      <c r="K185" s="122">
        <v>24382</v>
      </c>
    </row>
    <row r="186" spans="1:11" ht="15" customHeight="1" x14ac:dyDescent="0.2">
      <c r="A186" s="198" t="s">
        <v>191</v>
      </c>
      <c r="B186" s="37" t="s">
        <v>192</v>
      </c>
      <c r="C186" s="103">
        <v>324</v>
      </c>
      <c r="D186" s="103" t="s">
        <v>139</v>
      </c>
      <c r="E186" s="122">
        <v>14834</v>
      </c>
      <c r="F186" s="199">
        <v>0</v>
      </c>
      <c r="G186" s="122">
        <v>14834</v>
      </c>
      <c r="H186" s="199">
        <v>0</v>
      </c>
      <c r="I186" s="199">
        <v>0</v>
      </c>
      <c r="J186" s="199">
        <v>0</v>
      </c>
      <c r="K186" s="122">
        <v>14834</v>
      </c>
    </row>
    <row r="187" spans="1:11" ht="15" customHeight="1" x14ac:dyDescent="0.2">
      <c r="A187" s="198" t="s">
        <v>191</v>
      </c>
      <c r="B187" s="37" t="s">
        <v>192</v>
      </c>
      <c r="C187" s="103">
        <v>324</v>
      </c>
      <c r="D187" s="103" t="s">
        <v>140</v>
      </c>
      <c r="E187" s="122">
        <v>9310</v>
      </c>
      <c r="F187" s="199">
        <v>0</v>
      </c>
      <c r="G187" s="122">
        <v>9310</v>
      </c>
      <c r="H187" s="199">
        <v>0</v>
      </c>
      <c r="I187" s="199">
        <v>0</v>
      </c>
      <c r="J187" s="199">
        <v>0</v>
      </c>
      <c r="K187" s="122">
        <v>9310</v>
      </c>
    </row>
    <row r="188" spans="1:11" ht="15" customHeight="1" x14ac:dyDescent="0.2">
      <c r="A188" s="79" t="s">
        <v>420</v>
      </c>
      <c r="B188" s="115" t="s">
        <v>457</v>
      </c>
      <c r="C188" s="115" t="s">
        <v>457</v>
      </c>
      <c r="D188" s="115" t="s">
        <v>457</v>
      </c>
      <c r="E188" s="117">
        <f>SUBTOTAL(109,local324[Program
Costs])</f>
        <v>11906707</v>
      </c>
      <c r="F188" s="204">
        <f>SUBTOTAL(109,local324[Less: Net
Payments 
and Offsets])</f>
        <v>0</v>
      </c>
      <c r="G188" s="117">
        <f>SUBTOTAL(109,local324[Accounts Payable
Balance])</f>
        <v>11906707</v>
      </c>
      <c r="H188" s="204">
        <f>SUBTOTAL(109,local324[Established
Accounts Receivable])</f>
        <v>0</v>
      </c>
      <c r="I188" s="204">
        <f>SUBTOTAL(109,local324[Less:
 Recovered
Amount])</f>
        <v>0</v>
      </c>
      <c r="J188" s="204">
        <f>SUBTOTAL(109,local324[Accounts Receivable
Balance])</f>
        <v>0</v>
      </c>
      <c r="K188" s="117">
        <f>SUBTOTAL(109,local324[Net
Balance])</f>
        <v>11906707</v>
      </c>
    </row>
    <row r="189" spans="1:11" ht="15.75" customHeight="1" x14ac:dyDescent="0.2">
      <c r="A189" s="296" t="s">
        <v>463</v>
      </c>
      <c r="B189" s="103"/>
      <c r="C189" s="130"/>
      <c r="D189" s="103"/>
      <c r="E189" s="297"/>
      <c r="F189" s="298"/>
      <c r="G189" s="297"/>
      <c r="H189" s="298"/>
      <c r="I189" s="298"/>
      <c r="J189" s="298"/>
      <c r="K189" s="297"/>
    </row>
    <row r="190" spans="1:11" ht="62.1" customHeight="1" x14ac:dyDescent="0.2">
      <c r="A190" s="40" t="s">
        <v>15</v>
      </c>
      <c r="B190" s="40" t="s">
        <v>16</v>
      </c>
      <c r="C190" s="40" t="s">
        <v>468</v>
      </c>
      <c r="D190" s="40" t="s">
        <v>1</v>
      </c>
      <c r="E190" s="230" t="s">
        <v>3</v>
      </c>
      <c r="F190" s="231" t="s">
        <v>469</v>
      </c>
      <c r="G190" s="230" t="s">
        <v>461</v>
      </c>
      <c r="H190" s="230" t="s">
        <v>460</v>
      </c>
      <c r="I190" s="230" t="s">
        <v>470</v>
      </c>
      <c r="J190" s="230" t="s">
        <v>458</v>
      </c>
      <c r="K190" s="230" t="s">
        <v>17</v>
      </c>
    </row>
    <row r="191" spans="1:11" ht="15" customHeight="1" x14ac:dyDescent="0.2">
      <c r="A191" s="198" t="s">
        <v>427</v>
      </c>
      <c r="B191" s="37" t="s">
        <v>428</v>
      </c>
      <c r="C191" s="103">
        <v>375</v>
      </c>
      <c r="D191" s="103" t="s">
        <v>589</v>
      </c>
      <c r="E191" s="122">
        <v>20804108</v>
      </c>
      <c r="F191" s="199">
        <v>0</v>
      </c>
      <c r="G191" s="122">
        <v>20804108</v>
      </c>
      <c r="H191" s="199">
        <v>0</v>
      </c>
      <c r="I191" s="199">
        <v>0</v>
      </c>
      <c r="J191" s="199">
        <v>0</v>
      </c>
      <c r="K191" s="122">
        <v>20804108</v>
      </c>
    </row>
    <row r="192" spans="1:11" ht="15" customHeight="1" x14ac:dyDescent="0.2">
      <c r="A192" s="198" t="s">
        <v>427</v>
      </c>
      <c r="B192" s="37" t="s">
        <v>428</v>
      </c>
      <c r="C192" s="103">
        <v>375</v>
      </c>
      <c r="D192" s="103" t="s">
        <v>425</v>
      </c>
      <c r="E192" s="122">
        <v>10839226</v>
      </c>
      <c r="F192" s="199">
        <v>0</v>
      </c>
      <c r="G192" s="122">
        <v>10839226</v>
      </c>
      <c r="H192" s="199">
        <v>0</v>
      </c>
      <c r="I192" s="199">
        <v>0</v>
      </c>
      <c r="J192" s="199">
        <v>0</v>
      </c>
      <c r="K192" s="122">
        <v>10839226</v>
      </c>
    </row>
    <row r="193" spans="1:11" ht="15" customHeight="1" x14ac:dyDescent="0.2">
      <c r="A193" s="198" t="s">
        <v>427</v>
      </c>
      <c r="B193" s="37" t="s">
        <v>428</v>
      </c>
      <c r="C193" s="103">
        <v>375</v>
      </c>
      <c r="D193" s="103" t="s">
        <v>18</v>
      </c>
      <c r="E193" s="122">
        <v>11397802</v>
      </c>
      <c r="F193" s="199">
        <v>0</v>
      </c>
      <c r="G193" s="122">
        <v>11397802</v>
      </c>
      <c r="H193" s="199">
        <v>0</v>
      </c>
      <c r="I193" s="199">
        <v>0</v>
      </c>
      <c r="J193" s="199">
        <v>0</v>
      </c>
      <c r="K193" s="122">
        <v>11397802</v>
      </c>
    </row>
    <row r="194" spans="1:11" ht="15" customHeight="1" x14ac:dyDescent="0.2">
      <c r="A194" s="198" t="s">
        <v>427</v>
      </c>
      <c r="B194" s="37" t="s">
        <v>428</v>
      </c>
      <c r="C194" s="103">
        <v>375</v>
      </c>
      <c r="D194" s="103" t="s">
        <v>63</v>
      </c>
      <c r="E194" s="122">
        <v>13246546</v>
      </c>
      <c r="F194" s="199">
        <v>0</v>
      </c>
      <c r="G194" s="122">
        <v>13246546</v>
      </c>
      <c r="H194" s="199">
        <v>0</v>
      </c>
      <c r="I194" s="199">
        <v>0</v>
      </c>
      <c r="J194" s="199">
        <v>0</v>
      </c>
      <c r="K194" s="122">
        <v>13246546</v>
      </c>
    </row>
    <row r="195" spans="1:11" ht="15" customHeight="1" x14ac:dyDescent="0.2">
      <c r="A195" s="198" t="s">
        <v>427</v>
      </c>
      <c r="B195" s="37" t="s">
        <v>428</v>
      </c>
      <c r="C195" s="103">
        <v>375</v>
      </c>
      <c r="D195" s="103" t="s">
        <v>64</v>
      </c>
      <c r="E195" s="122">
        <v>1402720</v>
      </c>
      <c r="F195" s="199">
        <v>0</v>
      </c>
      <c r="G195" s="122">
        <v>1402720</v>
      </c>
      <c r="H195" s="199">
        <v>0</v>
      </c>
      <c r="I195" s="199">
        <v>0</v>
      </c>
      <c r="J195" s="199">
        <v>0</v>
      </c>
      <c r="K195" s="122">
        <v>1402720</v>
      </c>
    </row>
    <row r="196" spans="1:11" s="229" customFormat="1" ht="15" customHeight="1" x14ac:dyDescent="0.2">
      <c r="A196" s="79" t="s">
        <v>433</v>
      </c>
      <c r="B196" s="115" t="s">
        <v>457</v>
      </c>
      <c r="C196" s="115" t="s">
        <v>457</v>
      </c>
      <c r="D196" s="115" t="s">
        <v>457</v>
      </c>
      <c r="E196" s="117">
        <f>SUBTOTAL(109,local375[Program
Costs])</f>
        <v>57690402</v>
      </c>
      <c r="F196" s="204">
        <f>SUBTOTAL(109,local375[Less: Net
Payments 
and Offsets])</f>
        <v>0</v>
      </c>
      <c r="G196" s="117">
        <f>SUBTOTAL(109,local375[Accounts Payable
Balance])</f>
        <v>57690402</v>
      </c>
      <c r="H196" s="204">
        <f>SUBTOTAL(109,local375[Established
Accounts Receivable])</f>
        <v>0</v>
      </c>
      <c r="I196" s="204">
        <f>SUBTOTAL(109,local375[Less:
 Recovered
Amount])</f>
        <v>0</v>
      </c>
      <c r="J196" s="204">
        <f>SUBTOTAL(109,local375[Accounts Receivable
Balance])</f>
        <v>0</v>
      </c>
      <c r="K196" s="117">
        <f>SUBTOTAL(109,local375[Net
Balance])</f>
        <v>57690402</v>
      </c>
    </row>
    <row r="197" spans="1:11" ht="15.75" customHeight="1" x14ac:dyDescent="0.2">
      <c r="A197" s="296" t="s">
        <v>463</v>
      </c>
      <c r="B197" s="103"/>
      <c r="C197" s="130"/>
      <c r="D197" s="103"/>
      <c r="E197" s="297"/>
      <c r="F197" s="298"/>
      <c r="G197" s="297"/>
      <c r="H197" s="298"/>
      <c r="I197" s="298"/>
      <c r="J197" s="298"/>
      <c r="K197" s="297"/>
    </row>
    <row r="198" spans="1:11" ht="62.1" customHeight="1" x14ac:dyDescent="0.2">
      <c r="A198" s="40" t="s">
        <v>15</v>
      </c>
      <c r="B198" s="40" t="s">
        <v>16</v>
      </c>
      <c r="C198" s="40" t="s">
        <v>468</v>
      </c>
      <c r="D198" s="40" t="s">
        <v>1</v>
      </c>
      <c r="E198" s="230" t="s">
        <v>3</v>
      </c>
      <c r="F198" s="231" t="s">
        <v>469</v>
      </c>
      <c r="G198" s="230" t="s">
        <v>461</v>
      </c>
      <c r="H198" s="230" t="s">
        <v>460</v>
      </c>
      <c r="I198" s="230" t="s">
        <v>470</v>
      </c>
      <c r="J198" s="230" t="s">
        <v>458</v>
      </c>
      <c r="K198" s="230" t="s">
        <v>17</v>
      </c>
    </row>
    <row r="199" spans="1:11" ht="15" customHeight="1" x14ac:dyDescent="0.2">
      <c r="A199" s="198" t="s">
        <v>429</v>
      </c>
      <c r="B199" s="37" t="s">
        <v>430</v>
      </c>
      <c r="C199" s="103">
        <v>378</v>
      </c>
      <c r="D199" s="103" t="s">
        <v>589</v>
      </c>
      <c r="E199" s="122">
        <v>8516920</v>
      </c>
      <c r="F199" s="199">
        <v>0</v>
      </c>
      <c r="G199" s="122">
        <v>8516920</v>
      </c>
      <c r="H199" s="199">
        <v>0</v>
      </c>
      <c r="I199" s="199">
        <v>0</v>
      </c>
      <c r="J199" s="199">
        <v>0</v>
      </c>
      <c r="K199" s="122">
        <v>8516920</v>
      </c>
    </row>
    <row r="200" spans="1:11" ht="15" customHeight="1" x14ac:dyDescent="0.2">
      <c r="A200" s="198" t="s">
        <v>429</v>
      </c>
      <c r="B200" s="37" t="s">
        <v>430</v>
      </c>
      <c r="C200" s="103">
        <v>378</v>
      </c>
      <c r="D200" s="103" t="s">
        <v>425</v>
      </c>
      <c r="E200" s="122">
        <v>7551375</v>
      </c>
      <c r="F200" s="199">
        <v>0</v>
      </c>
      <c r="G200" s="122">
        <v>7551375</v>
      </c>
      <c r="H200" s="199">
        <v>0</v>
      </c>
      <c r="I200" s="199">
        <v>0</v>
      </c>
      <c r="J200" s="199">
        <v>0</v>
      </c>
      <c r="K200" s="122">
        <v>7551375</v>
      </c>
    </row>
    <row r="201" spans="1:11" ht="15" customHeight="1" x14ac:dyDescent="0.2">
      <c r="A201" s="198" t="s">
        <v>429</v>
      </c>
      <c r="B201" s="37" t="s">
        <v>430</v>
      </c>
      <c r="C201" s="103">
        <v>378</v>
      </c>
      <c r="D201" s="103" t="s">
        <v>18</v>
      </c>
      <c r="E201" s="122">
        <v>3724889</v>
      </c>
      <c r="F201" s="199">
        <v>0</v>
      </c>
      <c r="G201" s="122">
        <v>3724889</v>
      </c>
      <c r="H201" s="199">
        <v>0</v>
      </c>
      <c r="I201" s="199">
        <v>0</v>
      </c>
      <c r="J201" s="199">
        <v>0</v>
      </c>
      <c r="K201" s="122">
        <v>3724889</v>
      </c>
    </row>
    <row r="202" spans="1:11" s="229" customFormat="1" ht="15" customHeight="1" x14ac:dyDescent="0.2">
      <c r="A202" s="79" t="s">
        <v>434</v>
      </c>
      <c r="B202" s="115" t="s">
        <v>457</v>
      </c>
      <c r="C202" s="115" t="s">
        <v>457</v>
      </c>
      <c r="D202" s="115" t="s">
        <v>457</v>
      </c>
      <c r="E202" s="117">
        <f>SUBTOTAL(109,local378[Program
Costs])</f>
        <v>19793184</v>
      </c>
      <c r="F202" s="204">
        <f>SUBTOTAL(109,local378[Less: Net
Payments 
and Offsets])</f>
        <v>0</v>
      </c>
      <c r="G202" s="117">
        <f>SUBTOTAL(109,local378[Accounts Payable
Balance])</f>
        <v>19793184</v>
      </c>
      <c r="H202" s="204">
        <f>SUBTOTAL(109,local378[Established
Accounts Receivable])</f>
        <v>0</v>
      </c>
      <c r="I202" s="204">
        <f>SUBTOTAL(109,local378[Less:
 Recovered
Amount])</f>
        <v>0</v>
      </c>
      <c r="J202" s="204">
        <f>SUBTOTAL(109,local378[Accounts Receivable
Balance])</f>
        <v>0</v>
      </c>
      <c r="K202" s="117">
        <f>SUBTOTAL(109,local378[Net
Balance])</f>
        <v>19793184</v>
      </c>
    </row>
    <row r="203" spans="1:11" ht="15.75" customHeight="1" x14ac:dyDescent="0.2">
      <c r="A203" s="296" t="s">
        <v>463</v>
      </c>
      <c r="B203" s="103"/>
      <c r="C203" s="130"/>
      <c r="D203" s="103"/>
      <c r="E203" s="297"/>
      <c r="F203" s="298"/>
      <c r="G203" s="297"/>
      <c r="H203" s="298"/>
      <c r="I203" s="298"/>
      <c r="J203" s="298"/>
      <c r="K203" s="297"/>
    </row>
    <row r="204" spans="1:11" ht="62.1" customHeight="1" x14ac:dyDescent="0.2">
      <c r="A204" s="40" t="s">
        <v>15</v>
      </c>
      <c r="B204" s="40" t="s">
        <v>16</v>
      </c>
      <c r="C204" s="40" t="s">
        <v>468</v>
      </c>
      <c r="D204" s="40" t="s">
        <v>1</v>
      </c>
      <c r="E204" s="230" t="s">
        <v>3</v>
      </c>
      <c r="F204" s="231" t="s">
        <v>469</v>
      </c>
      <c r="G204" s="230" t="s">
        <v>461</v>
      </c>
      <c r="H204" s="230" t="s">
        <v>460</v>
      </c>
      <c r="I204" s="230" t="s">
        <v>470</v>
      </c>
      <c r="J204" s="230" t="s">
        <v>458</v>
      </c>
      <c r="K204" s="230" t="s">
        <v>17</v>
      </c>
    </row>
    <row r="205" spans="1:11" ht="15" customHeight="1" x14ac:dyDescent="0.2">
      <c r="A205" s="305" t="s">
        <v>456</v>
      </c>
      <c r="B205" s="37" t="s">
        <v>54</v>
      </c>
      <c r="C205" s="103">
        <v>376</v>
      </c>
      <c r="D205" s="103" t="s">
        <v>64</v>
      </c>
      <c r="E205" s="122">
        <v>9711963</v>
      </c>
      <c r="F205" s="199">
        <v>0</v>
      </c>
      <c r="G205" s="122">
        <v>9711963</v>
      </c>
      <c r="H205" s="199">
        <v>0</v>
      </c>
      <c r="I205" s="199">
        <v>0</v>
      </c>
      <c r="J205" s="199">
        <v>0</v>
      </c>
      <c r="K205" s="122">
        <v>9711963</v>
      </c>
    </row>
    <row r="206" spans="1:11" ht="15" customHeight="1" x14ac:dyDescent="0.2">
      <c r="A206" s="37" t="s">
        <v>456</v>
      </c>
      <c r="B206" s="37" t="s">
        <v>54</v>
      </c>
      <c r="C206" s="103">
        <v>376</v>
      </c>
      <c r="D206" s="103" t="s">
        <v>65</v>
      </c>
      <c r="E206" s="122">
        <v>8550312</v>
      </c>
      <c r="F206" s="199">
        <v>0</v>
      </c>
      <c r="G206" s="122">
        <v>8550312</v>
      </c>
      <c r="H206" s="199">
        <v>0</v>
      </c>
      <c r="I206" s="199">
        <v>0</v>
      </c>
      <c r="J206" s="199">
        <v>0</v>
      </c>
      <c r="K206" s="122">
        <v>8550312</v>
      </c>
    </row>
    <row r="207" spans="1:11" ht="15" customHeight="1" x14ac:dyDescent="0.2">
      <c r="A207" s="37" t="s">
        <v>456</v>
      </c>
      <c r="B207" s="37" t="s">
        <v>54</v>
      </c>
      <c r="C207" s="103">
        <v>376</v>
      </c>
      <c r="D207" s="103" t="s">
        <v>66</v>
      </c>
      <c r="E207" s="122">
        <v>8530511</v>
      </c>
      <c r="F207" s="199">
        <v>0</v>
      </c>
      <c r="G207" s="122">
        <v>8530511</v>
      </c>
      <c r="H207" s="199">
        <v>0</v>
      </c>
      <c r="I207" s="199">
        <v>0</v>
      </c>
      <c r="J207" s="199">
        <v>0</v>
      </c>
      <c r="K207" s="122">
        <v>8530511</v>
      </c>
    </row>
    <row r="208" spans="1:11" ht="15" customHeight="1" x14ac:dyDescent="0.2">
      <c r="A208" s="37" t="s">
        <v>456</v>
      </c>
      <c r="B208" s="37" t="s">
        <v>54</v>
      </c>
      <c r="C208" s="103">
        <v>376</v>
      </c>
      <c r="D208" s="103" t="s">
        <v>67</v>
      </c>
      <c r="E208" s="122">
        <v>7924117</v>
      </c>
      <c r="F208" s="199">
        <v>0</v>
      </c>
      <c r="G208" s="122">
        <v>7924117</v>
      </c>
      <c r="H208" s="199">
        <v>0</v>
      </c>
      <c r="I208" s="199">
        <v>0</v>
      </c>
      <c r="J208" s="199">
        <v>0</v>
      </c>
      <c r="K208" s="122">
        <v>7924117</v>
      </c>
    </row>
    <row r="209" spans="1:11" ht="15" customHeight="1" x14ac:dyDescent="0.2">
      <c r="A209" s="37" t="s">
        <v>456</v>
      </c>
      <c r="B209" s="37" t="s">
        <v>54</v>
      </c>
      <c r="C209" s="103">
        <v>376</v>
      </c>
      <c r="D209" s="103" t="s">
        <v>68</v>
      </c>
      <c r="E209" s="122">
        <v>9713457</v>
      </c>
      <c r="F209" s="199">
        <v>0</v>
      </c>
      <c r="G209" s="122">
        <v>9713457</v>
      </c>
      <c r="H209" s="199">
        <v>0</v>
      </c>
      <c r="I209" s="199">
        <v>0</v>
      </c>
      <c r="J209" s="199">
        <v>0</v>
      </c>
      <c r="K209" s="122">
        <v>9713457</v>
      </c>
    </row>
    <row r="210" spans="1:11" ht="15" customHeight="1" x14ac:dyDescent="0.2">
      <c r="A210" s="37" t="s">
        <v>456</v>
      </c>
      <c r="B210" s="37" t="s">
        <v>54</v>
      </c>
      <c r="C210" s="103">
        <v>376</v>
      </c>
      <c r="D210" s="103" t="s">
        <v>69</v>
      </c>
      <c r="E210" s="122">
        <v>11974782</v>
      </c>
      <c r="F210" s="199">
        <v>0</v>
      </c>
      <c r="G210" s="122">
        <v>11974782</v>
      </c>
      <c r="H210" s="199">
        <v>0</v>
      </c>
      <c r="I210" s="199">
        <v>0</v>
      </c>
      <c r="J210" s="199">
        <v>0</v>
      </c>
      <c r="K210" s="122">
        <v>11974782</v>
      </c>
    </row>
    <row r="211" spans="1:11" ht="15" customHeight="1" x14ac:dyDescent="0.2">
      <c r="A211" s="100" t="s">
        <v>456</v>
      </c>
      <c r="B211" s="37" t="s">
        <v>54</v>
      </c>
      <c r="C211" s="103">
        <v>376</v>
      </c>
      <c r="D211" s="103" t="s">
        <v>70</v>
      </c>
      <c r="E211" s="122">
        <v>11672303</v>
      </c>
      <c r="F211" s="199">
        <v>0</v>
      </c>
      <c r="G211" s="122">
        <v>11672303</v>
      </c>
      <c r="H211" s="199">
        <v>0</v>
      </c>
      <c r="I211" s="199">
        <v>0</v>
      </c>
      <c r="J211" s="199">
        <v>0</v>
      </c>
      <c r="K211" s="122">
        <v>11672303</v>
      </c>
    </row>
    <row r="212" spans="1:11" ht="15" customHeight="1" x14ac:dyDescent="0.2">
      <c r="A212" s="206" t="s">
        <v>456</v>
      </c>
      <c r="B212" s="115" t="s">
        <v>457</v>
      </c>
      <c r="C212" s="115" t="s">
        <v>457</v>
      </c>
      <c r="D212" s="115" t="s">
        <v>457</v>
      </c>
      <c r="E212" s="117">
        <f>SUBTOTAL(109,local376[Program
Costs])</f>
        <v>68077445</v>
      </c>
      <c r="F212" s="204">
        <f>SUBTOTAL(109,local376[Less: Net
Payments 
and Offsets])</f>
        <v>0</v>
      </c>
      <c r="G212" s="117">
        <f>SUBTOTAL(109,local376[Accounts Payable
Balance])</f>
        <v>68077445</v>
      </c>
      <c r="H212" s="204">
        <f>SUBTOTAL(109,local376[Established
Accounts Receivable])</f>
        <v>0</v>
      </c>
      <c r="I212" s="204">
        <f>SUBTOTAL(109,local376[Less:
 Recovered
Amount])</f>
        <v>0</v>
      </c>
      <c r="J212" s="204">
        <f>SUBTOTAL(109,local376[Accounts Receivable
Balance])</f>
        <v>0</v>
      </c>
      <c r="K212" s="117">
        <f>SUBTOTAL(109,local376[Net
Balance])</f>
        <v>68077445</v>
      </c>
    </row>
    <row r="213" spans="1:11" ht="15.75" customHeight="1" x14ac:dyDescent="0.2">
      <c r="A213" s="296" t="s">
        <v>463</v>
      </c>
      <c r="B213" s="103"/>
      <c r="C213" s="130"/>
      <c r="D213" s="103"/>
      <c r="E213" s="297"/>
      <c r="F213" s="298"/>
      <c r="G213" s="297"/>
      <c r="H213" s="298"/>
      <c r="I213" s="298"/>
      <c r="J213" s="298"/>
      <c r="K213" s="297"/>
    </row>
    <row r="214" spans="1:11" ht="62.1" customHeight="1" x14ac:dyDescent="0.2">
      <c r="A214" s="40" t="s">
        <v>15</v>
      </c>
      <c r="B214" s="40" t="s">
        <v>16</v>
      </c>
      <c r="C214" s="40" t="s">
        <v>468</v>
      </c>
      <c r="D214" s="40" t="s">
        <v>1</v>
      </c>
      <c r="E214" s="230" t="s">
        <v>3</v>
      </c>
      <c r="F214" s="231" t="s">
        <v>469</v>
      </c>
      <c r="G214" s="230" t="s">
        <v>461</v>
      </c>
      <c r="H214" s="230" t="s">
        <v>460</v>
      </c>
      <c r="I214" s="230" t="s">
        <v>470</v>
      </c>
      <c r="J214" s="230" t="s">
        <v>458</v>
      </c>
      <c r="K214" s="230" t="s">
        <v>17</v>
      </c>
    </row>
    <row r="215" spans="1:11" ht="15" customHeight="1" x14ac:dyDescent="0.2">
      <c r="A215" s="198" t="s">
        <v>193</v>
      </c>
      <c r="B215" s="37" t="s">
        <v>194</v>
      </c>
      <c r="C215" s="103">
        <v>331</v>
      </c>
      <c r="D215" s="103" t="s">
        <v>69</v>
      </c>
      <c r="E215" s="122">
        <v>2500091</v>
      </c>
      <c r="F215" s="199">
        <v>0</v>
      </c>
      <c r="G215" s="122">
        <v>2500091</v>
      </c>
      <c r="H215" s="199">
        <v>0</v>
      </c>
      <c r="I215" s="199">
        <v>0</v>
      </c>
      <c r="J215" s="199">
        <v>0</v>
      </c>
      <c r="K215" s="122">
        <v>2500091</v>
      </c>
    </row>
    <row r="216" spans="1:11" ht="15" customHeight="1" x14ac:dyDescent="0.2">
      <c r="A216" s="198" t="s">
        <v>193</v>
      </c>
      <c r="B216" s="37" t="s">
        <v>194</v>
      </c>
      <c r="C216" s="103">
        <v>331</v>
      </c>
      <c r="D216" s="103" t="s">
        <v>70</v>
      </c>
      <c r="E216" s="122">
        <v>649325</v>
      </c>
      <c r="F216" s="199">
        <v>0</v>
      </c>
      <c r="G216" s="122">
        <v>649325</v>
      </c>
      <c r="H216" s="199">
        <v>0</v>
      </c>
      <c r="I216" s="199">
        <v>0</v>
      </c>
      <c r="J216" s="199">
        <v>0</v>
      </c>
      <c r="K216" s="122">
        <v>649325</v>
      </c>
    </row>
    <row r="217" spans="1:11" ht="15" customHeight="1" x14ac:dyDescent="0.2">
      <c r="A217" s="198" t="s">
        <v>193</v>
      </c>
      <c r="B217" s="37" t="s">
        <v>194</v>
      </c>
      <c r="C217" s="103">
        <v>331</v>
      </c>
      <c r="D217" s="103" t="s">
        <v>73</v>
      </c>
      <c r="E217" s="122">
        <v>1484457</v>
      </c>
      <c r="F217" s="199">
        <v>0</v>
      </c>
      <c r="G217" s="122">
        <v>1484457</v>
      </c>
      <c r="H217" s="199">
        <v>0</v>
      </c>
      <c r="I217" s="199">
        <v>0</v>
      </c>
      <c r="J217" s="199">
        <v>0</v>
      </c>
      <c r="K217" s="122">
        <v>1484457</v>
      </c>
    </row>
    <row r="218" spans="1:11" ht="15" customHeight="1" x14ac:dyDescent="0.2">
      <c r="A218" s="198" t="s">
        <v>193</v>
      </c>
      <c r="B218" s="37" t="s">
        <v>194</v>
      </c>
      <c r="C218" s="103">
        <v>331</v>
      </c>
      <c r="D218" s="103" t="s">
        <v>13</v>
      </c>
      <c r="E218" s="122">
        <v>467811</v>
      </c>
      <c r="F218" s="199">
        <v>0</v>
      </c>
      <c r="G218" s="122">
        <v>467811</v>
      </c>
      <c r="H218" s="199">
        <v>0</v>
      </c>
      <c r="I218" s="199">
        <v>0</v>
      </c>
      <c r="J218" s="199">
        <v>0</v>
      </c>
      <c r="K218" s="122">
        <v>467811</v>
      </c>
    </row>
    <row r="219" spans="1:11" ht="15" customHeight="1" x14ac:dyDescent="0.2">
      <c r="A219" s="198" t="s">
        <v>193</v>
      </c>
      <c r="B219" s="37" t="s">
        <v>194</v>
      </c>
      <c r="C219" s="103">
        <v>331</v>
      </c>
      <c r="D219" s="103" t="s">
        <v>120</v>
      </c>
      <c r="E219" s="122">
        <v>1361366</v>
      </c>
      <c r="F219" s="199">
        <v>0</v>
      </c>
      <c r="G219" s="122">
        <v>1361366</v>
      </c>
      <c r="H219" s="199">
        <v>0</v>
      </c>
      <c r="I219" s="199">
        <v>0</v>
      </c>
      <c r="J219" s="199">
        <v>0</v>
      </c>
      <c r="K219" s="122">
        <v>1361366</v>
      </c>
    </row>
    <row r="220" spans="1:11" ht="15" customHeight="1" x14ac:dyDescent="0.2">
      <c r="A220" s="198" t="s">
        <v>193</v>
      </c>
      <c r="B220" s="37" t="s">
        <v>194</v>
      </c>
      <c r="C220" s="103">
        <v>331</v>
      </c>
      <c r="D220" s="103" t="s">
        <v>131</v>
      </c>
      <c r="E220" s="122">
        <v>418990</v>
      </c>
      <c r="F220" s="199">
        <v>0</v>
      </c>
      <c r="G220" s="122">
        <v>418990</v>
      </c>
      <c r="H220" s="199">
        <v>0</v>
      </c>
      <c r="I220" s="199">
        <v>0</v>
      </c>
      <c r="J220" s="199">
        <v>0</v>
      </c>
      <c r="K220" s="122">
        <v>418990</v>
      </c>
    </row>
    <row r="221" spans="1:11" ht="15" customHeight="1" x14ac:dyDescent="0.2">
      <c r="A221" s="198" t="s">
        <v>193</v>
      </c>
      <c r="B221" s="37" t="s">
        <v>194</v>
      </c>
      <c r="C221" s="103">
        <v>331</v>
      </c>
      <c r="D221" s="103" t="s">
        <v>136</v>
      </c>
      <c r="E221" s="122">
        <v>695563</v>
      </c>
      <c r="F221" s="199">
        <v>0</v>
      </c>
      <c r="G221" s="122">
        <v>695563</v>
      </c>
      <c r="H221" s="199">
        <v>0</v>
      </c>
      <c r="I221" s="199">
        <v>0</v>
      </c>
      <c r="J221" s="199">
        <v>0</v>
      </c>
      <c r="K221" s="122">
        <v>695563</v>
      </c>
    </row>
    <row r="222" spans="1:11" ht="15" customHeight="1" x14ac:dyDescent="0.2">
      <c r="A222" s="198" t="s">
        <v>193</v>
      </c>
      <c r="B222" s="37" t="s">
        <v>194</v>
      </c>
      <c r="C222" s="103">
        <v>331</v>
      </c>
      <c r="D222" s="103" t="s">
        <v>137</v>
      </c>
      <c r="E222" s="122">
        <v>427478</v>
      </c>
      <c r="F222" s="199">
        <v>0</v>
      </c>
      <c r="G222" s="122">
        <v>427478</v>
      </c>
      <c r="H222" s="199">
        <v>0</v>
      </c>
      <c r="I222" s="199">
        <v>0</v>
      </c>
      <c r="J222" s="199">
        <v>0</v>
      </c>
      <c r="K222" s="122">
        <v>427478</v>
      </c>
    </row>
    <row r="223" spans="1:11" ht="15" customHeight="1" x14ac:dyDescent="0.2">
      <c r="A223" s="198" t="s">
        <v>193</v>
      </c>
      <c r="B223" s="37" t="s">
        <v>194</v>
      </c>
      <c r="C223" s="103">
        <v>331</v>
      </c>
      <c r="D223" s="103" t="s">
        <v>138</v>
      </c>
      <c r="E223" s="122">
        <v>1088135</v>
      </c>
      <c r="F223" s="199">
        <v>0</v>
      </c>
      <c r="G223" s="122">
        <v>1088135</v>
      </c>
      <c r="H223" s="199">
        <v>0</v>
      </c>
      <c r="I223" s="199">
        <v>0</v>
      </c>
      <c r="J223" s="199">
        <v>0</v>
      </c>
      <c r="K223" s="122">
        <v>1088135</v>
      </c>
    </row>
    <row r="224" spans="1:11" ht="15" customHeight="1" x14ac:dyDescent="0.2">
      <c r="A224" s="198" t="s">
        <v>193</v>
      </c>
      <c r="B224" s="37" t="s">
        <v>194</v>
      </c>
      <c r="C224" s="103">
        <v>331</v>
      </c>
      <c r="D224" s="103" t="s">
        <v>139</v>
      </c>
      <c r="E224" s="122">
        <v>514260</v>
      </c>
      <c r="F224" s="199">
        <v>0</v>
      </c>
      <c r="G224" s="122">
        <v>514260</v>
      </c>
      <c r="H224" s="199">
        <v>0</v>
      </c>
      <c r="I224" s="199">
        <v>0</v>
      </c>
      <c r="J224" s="199">
        <v>0</v>
      </c>
      <c r="K224" s="122">
        <v>514260</v>
      </c>
    </row>
    <row r="225" spans="1:11" ht="15" customHeight="1" x14ac:dyDescent="0.2">
      <c r="A225" s="198" t="s">
        <v>193</v>
      </c>
      <c r="B225" s="37" t="s">
        <v>194</v>
      </c>
      <c r="C225" s="103">
        <v>331</v>
      </c>
      <c r="D225" s="103" t="s">
        <v>140</v>
      </c>
      <c r="E225" s="122">
        <v>467915</v>
      </c>
      <c r="F225" s="199">
        <v>0</v>
      </c>
      <c r="G225" s="122">
        <v>467915</v>
      </c>
      <c r="H225" s="199">
        <v>0</v>
      </c>
      <c r="I225" s="199">
        <v>0</v>
      </c>
      <c r="J225" s="199">
        <v>0</v>
      </c>
      <c r="K225" s="122">
        <v>467915</v>
      </c>
    </row>
    <row r="226" spans="1:11" ht="15" customHeight="1" x14ac:dyDescent="0.2">
      <c r="A226" s="79" t="s">
        <v>421</v>
      </c>
      <c r="B226" s="115" t="s">
        <v>457</v>
      </c>
      <c r="C226" s="115" t="s">
        <v>457</v>
      </c>
      <c r="D226" s="115" t="s">
        <v>457</v>
      </c>
      <c r="E226" s="117">
        <f>SUBTOTAL(109,local331[Program
Costs])</f>
        <v>10075391</v>
      </c>
      <c r="F226" s="204">
        <f>SUBTOTAL(109,local331[Less: Net
Payments 
and Offsets])</f>
        <v>0</v>
      </c>
      <c r="G226" s="117">
        <f>SUBTOTAL(109,local331[Accounts Payable
Balance])</f>
        <v>10075391</v>
      </c>
      <c r="H226" s="204">
        <f>SUBTOTAL(109,local331[Established
Accounts Receivable])</f>
        <v>0</v>
      </c>
      <c r="I226" s="204">
        <f>SUBTOTAL(109,local331[Less:
 Recovered
Amount])</f>
        <v>0</v>
      </c>
      <c r="J226" s="204">
        <f>SUBTOTAL(109,local331[Accounts Receivable
Balance])</f>
        <v>0</v>
      </c>
      <c r="K226" s="117">
        <f>SUBTOTAL(109,local331[Net
Balance])</f>
        <v>10075391</v>
      </c>
    </row>
    <row r="227" spans="1:11" ht="15.75" customHeight="1" x14ac:dyDescent="0.2">
      <c r="A227" s="296" t="s">
        <v>463</v>
      </c>
      <c r="B227" s="103"/>
      <c r="C227" s="130"/>
      <c r="D227" s="103"/>
      <c r="E227" s="297"/>
      <c r="F227" s="298"/>
      <c r="G227" s="297"/>
      <c r="H227" s="298"/>
      <c r="I227" s="298"/>
      <c r="J227" s="298"/>
      <c r="K227" s="297"/>
    </row>
    <row r="228" spans="1:11" ht="62.1" customHeight="1" x14ac:dyDescent="0.2">
      <c r="A228" s="40" t="s">
        <v>15</v>
      </c>
      <c r="B228" s="40" t="s">
        <v>16</v>
      </c>
      <c r="C228" s="40" t="s">
        <v>468</v>
      </c>
      <c r="D228" s="40" t="s">
        <v>1</v>
      </c>
      <c r="E228" s="230" t="s">
        <v>3</v>
      </c>
      <c r="F228" s="231" t="s">
        <v>469</v>
      </c>
      <c r="G228" s="230" t="s">
        <v>461</v>
      </c>
      <c r="H228" s="230" t="s">
        <v>460</v>
      </c>
      <c r="I228" s="230" t="s">
        <v>470</v>
      </c>
      <c r="J228" s="230" t="s">
        <v>458</v>
      </c>
      <c r="K228" s="230" t="s">
        <v>17</v>
      </c>
    </row>
    <row r="229" spans="1:11" ht="15" customHeight="1" x14ac:dyDescent="0.2">
      <c r="A229" s="132" t="s">
        <v>164</v>
      </c>
      <c r="B229" s="287" t="s">
        <v>457</v>
      </c>
      <c r="C229" s="287" t="s">
        <v>457</v>
      </c>
      <c r="D229" s="287" t="s">
        <v>457</v>
      </c>
      <c r="E229" s="73">
        <v>216176</v>
      </c>
      <c r="F229" s="126">
        <v>0</v>
      </c>
      <c r="G229" s="73">
        <v>216176</v>
      </c>
      <c r="H229" s="126">
        <v>0</v>
      </c>
      <c r="I229" s="126">
        <v>0</v>
      </c>
      <c r="J229" s="126">
        <v>0</v>
      </c>
      <c r="K229" s="73">
        <v>216176</v>
      </c>
    </row>
    <row r="230" spans="1:11" ht="15" customHeight="1" x14ac:dyDescent="0.2">
      <c r="A230" s="198" t="s">
        <v>597</v>
      </c>
      <c r="B230" s="287"/>
      <c r="C230" s="287"/>
      <c r="D230" s="287"/>
      <c r="E230" s="73">
        <v>1993187</v>
      </c>
      <c r="F230" s="126">
        <v>0</v>
      </c>
      <c r="G230" s="73">
        <v>1993187</v>
      </c>
      <c r="H230" s="126">
        <v>0</v>
      </c>
      <c r="I230" s="126">
        <v>0</v>
      </c>
      <c r="J230" s="126">
        <v>0</v>
      </c>
      <c r="K230" s="73">
        <v>1993187</v>
      </c>
    </row>
    <row r="231" spans="1:11" ht="15" customHeight="1" x14ac:dyDescent="0.2">
      <c r="A231" s="100" t="s">
        <v>166</v>
      </c>
      <c r="B231" s="287" t="s">
        <v>457</v>
      </c>
      <c r="C231" s="287" t="s">
        <v>457</v>
      </c>
      <c r="D231" s="287" t="s">
        <v>457</v>
      </c>
      <c r="E231" s="73">
        <v>128893957</v>
      </c>
      <c r="F231" s="126">
        <v>0</v>
      </c>
      <c r="G231" s="73">
        <v>128893957</v>
      </c>
      <c r="H231" s="126">
        <v>0</v>
      </c>
      <c r="I231" s="126">
        <v>0</v>
      </c>
      <c r="J231" s="126">
        <v>0</v>
      </c>
      <c r="K231" s="73">
        <v>128893957</v>
      </c>
    </row>
    <row r="232" spans="1:11" ht="15" customHeight="1" x14ac:dyDescent="0.2">
      <c r="A232" s="132" t="s">
        <v>168</v>
      </c>
      <c r="B232" s="287" t="s">
        <v>457</v>
      </c>
      <c r="C232" s="287" t="s">
        <v>457</v>
      </c>
      <c r="D232" s="287" t="s">
        <v>457</v>
      </c>
      <c r="E232" s="73">
        <v>2009608</v>
      </c>
      <c r="F232" s="126">
        <v>0</v>
      </c>
      <c r="G232" s="73">
        <v>2009608</v>
      </c>
      <c r="H232" s="126">
        <v>0</v>
      </c>
      <c r="I232" s="126">
        <v>0</v>
      </c>
      <c r="J232" s="126">
        <v>0</v>
      </c>
      <c r="K232" s="73">
        <v>2009608</v>
      </c>
    </row>
    <row r="233" spans="1:11" ht="15" customHeight="1" x14ac:dyDescent="0.2">
      <c r="A233" s="132" t="s">
        <v>170</v>
      </c>
      <c r="B233" s="287" t="s">
        <v>457</v>
      </c>
      <c r="C233" s="287" t="s">
        <v>457</v>
      </c>
      <c r="D233" s="287" t="s">
        <v>457</v>
      </c>
      <c r="E233" s="73">
        <v>11927294</v>
      </c>
      <c r="F233" s="126">
        <v>0</v>
      </c>
      <c r="G233" s="73">
        <v>11927294</v>
      </c>
      <c r="H233" s="126">
        <v>0</v>
      </c>
      <c r="I233" s="126">
        <v>0</v>
      </c>
      <c r="J233" s="126">
        <v>0</v>
      </c>
      <c r="K233" s="73">
        <v>11927294</v>
      </c>
    </row>
    <row r="234" spans="1:11" ht="15" customHeight="1" x14ac:dyDescent="0.2">
      <c r="A234" s="132" t="s">
        <v>472</v>
      </c>
      <c r="B234" s="287" t="s">
        <v>457</v>
      </c>
      <c r="C234" s="287" t="s">
        <v>457</v>
      </c>
      <c r="D234" s="287" t="s">
        <v>457</v>
      </c>
      <c r="E234" s="73">
        <v>157256</v>
      </c>
      <c r="F234" s="126">
        <v>0</v>
      </c>
      <c r="G234" s="73">
        <v>157256</v>
      </c>
      <c r="H234" s="126">
        <v>0</v>
      </c>
      <c r="I234" s="126">
        <v>0</v>
      </c>
      <c r="J234" s="126">
        <v>0</v>
      </c>
      <c r="K234" s="73">
        <v>157256</v>
      </c>
    </row>
    <row r="235" spans="1:11" ht="15" customHeight="1" x14ac:dyDescent="0.2">
      <c r="A235" s="132" t="s">
        <v>174</v>
      </c>
      <c r="B235" s="287" t="s">
        <v>457</v>
      </c>
      <c r="C235" s="287" t="s">
        <v>457</v>
      </c>
      <c r="D235" s="287" t="s">
        <v>457</v>
      </c>
      <c r="E235" s="73">
        <v>67915325</v>
      </c>
      <c r="F235" s="126">
        <v>0</v>
      </c>
      <c r="G235" s="73">
        <v>67915325</v>
      </c>
      <c r="H235" s="126">
        <v>0</v>
      </c>
      <c r="I235" s="126">
        <v>0</v>
      </c>
      <c r="J235" s="126">
        <v>0</v>
      </c>
      <c r="K235" s="73">
        <v>67915325</v>
      </c>
    </row>
    <row r="236" spans="1:11" ht="15" customHeight="1" x14ac:dyDescent="0.2">
      <c r="A236" s="132" t="s">
        <v>176</v>
      </c>
      <c r="B236" s="287" t="s">
        <v>457</v>
      </c>
      <c r="C236" s="287" t="s">
        <v>457</v>
      </c>
      <c r="D236" s="287" t="s">
        <v>457</v>
      </c>
      <c r="E236" s="73">
        <v>60867315</v>
      </c>
      <c r="F236" s="126">
        <v>0</v>
      </c>
      <c r="G236" s="73">
        <v>60867315</v>
      </c>
      <c r="H236" s="126">
        <v>0</v>
      </c>
      <c r="I236" s="126">
        <v>0</v>
      </c>
      <c r="J236" s="126">
        <v>0</v>
      </c>
      <c r="K236" s="73">
        <v>60867315</v>
      </c>
    </row>
    <row r="237" spans="1:11" ht="15" customHeight="1" x14ac:dyDescent="0.2">
      <c r="A237" s="132" t="s">
        <v>178</v>
      </c>
      <c r="B237" s="287" t="s">
        <v>457</v>
      </c>
      <c r="C237" s="287" t="s">
        <v>457</v>
      </c>
      <c r="D237" s="287" t="s">
        <v>457</v>
      </c>
      <c r="E237" s="73">
        <v>5390</v>
      </c>
      <c r="F237" s="126">
        <v>0</v>
      </c>
      <c r="G237" s="73">
        <v>5390</v>
      </c>
      <c r="H237" s="126">
        <v>0</v>
      </c>
      <c r="I237" s="126">
        <v>0</v>
      </c>
      <c r="J237" s="126">
        <v>0</v>
      </c>
      <c r="K237" s="73">
        <v>5390</v>
      </c>
    </row>
    <row r="238" spans="1:11" ht="15" customHeight="1" x14ac:dyDescent="0.2">
      <c r="A238" s="132" t="s">
        <v>180</v>
      </c>
      <c r="B238" s="287" t="s">
        <v>457</v>
      </c>
      <c r="C238" s="287" t="s">
        <v>457</v>
      </c>
      <c r="D238" s="287" t="s">
        <v>457</v>
      </c>
      <c r="E238" s="73">
        <v>27007408</v>
      </c>
      <c r="F238" s="126">
        <v>0</v>
      </c>
      <c r="G238" s="73">
        <v>27007408</v>
      </c>
      <c r="H238" s="126">
        <v>0</v>
      </c>
      <c r="I238" s="126">
        <v>0</v>
      </c>
      <c r="J238" s="126">
        <v>0</v>
      </c>
      <c r="K238" s="73">
        <v>27007408</v>
      </c>
    </row>
    <row r="239" spans="1:11" ht="15" customHeight="1" x14ac:dyDescent="0.2">
      <c r="A239" s="132" t="s">
        <v>182</v>
      </c>
      <c r="B239" s="287" t="s">
        <v>457</v>
      </c>
      <c r="C239" s="287" t="s">
        <v>457</v>
      </c>
      <c r="D239" s="287" t="s">
        <v>457</v>
      </c>
      <c r="E239" s="73">
        <v>4909840</v>
      </c>
      <c r="F239" s="126">
        <v>0</v>
      </c>
      <c r="G239" s="73">
        <v>4909840</v>
      </c>
      <c r="H239" s="126">
        <v>0</v>
      </c>
      <c r="I239" s="126">
        <v>0</v>
      </c>
      <c r="J239" s="126">
        <v>0</v>
      </c>
      <c r="K239" s="73">
        <v>4909840</v>
      </c>
    </row>
    <row r="240" spans="1:11" ht="15" customHeight="1" x14ac:dyDescent="0.2">
      <c r="A240" s="132" t="s">
        <v>184</v>
      </c>
      <c r="B240" s="287" t="s">
        <v>457</v>
      </c>
      <c r="C240" s="287" t="s">
        <v>457</v>
      </c>
      <c r="D240" s="287" t="s">
        <v>457</v>
      </c>
      <c r="E240" s="73">
        <v>1816619</v>
      </c>
      <c r="F240" s="126">
        <v>0</v>
      </c>
      <c r="G240" s="73">
        <v>1816619</v>
      </c>
      <c r="H240" s="126">
        <v>0</v>
      </c>
      <c r="I240" s="126">
        <v>0</v>
      </c>
      <c r="J240" s="126">
        <v>0</v>
      </c>
      <c r="K240" s="73">
        <v>1816619</v>
      </c>
    </row>
    <row r="241" spans="1:12" ht="15" customHeight="1" x14ac:dyDescent="0.2">
      <c r="A241" s="132" t="s">
        <v>190</v>
      </c>
      <c r="B241" s="287" t="s">
        <v>457</v>
      </c>
      <c r="C241" s="287" t="s">
        <v>457</v>
      </c>
      <c r="D241" s="287" t="s">
        <v>457</v>
      </c>
      <c r="E241" s="73">
        <v>9234052</v>
      </c>
      <c r="F241" s="126">
        <v>0</v>
      </c>
      <c r="G241" s="73">
        <v>9234052</v>
      </c>
      <c r="H241" s="126">
        <v>0</v>
      </c>
      <c r="I241" s="126">
        <v>0</v>
      </c>
      <c r="J241" s="126">
        <v>0</v>
      </c>
      <c r="K241" s="73">
        <v>9234052</v>
      </c>
    </row>
    <row r="242" spans="1:12" ht="15" customHeight="1" x14ac:dyDescent="0.2">
      <c r="A242" s="132" t="s">
        <v>191</v>
      </c>
      <c r="B242" s="287" t="s">
        <v>457</v>
      </c>
      <c r="C242" s="287" t="s">
        <v>457</v>
      </c>
      <c r="D242" s="287" t="s">
        <v>457</v>
      </c>
      <c r="E242" s="73">
        <v>11906707</v>
      </c>
      <c r="F242" s="126">
        <v>0</v>
      </c>
      <c r="G242" s="73">
        <v>11906707</v>
      </c>
      <c r="H242" s="126">
        <v>0</v>
      </c>
      <c r="I242" s="126">
        <v>0</v>
      </c>
      <c r="J242" s="126">
        <v>0</v>
      </c>
      <c r="K242" s="73">
        <v>11906707</v>
      </c>
    </row>
    <row r="243" spans="1:12" ht="15" customHeight="1" x14ac:dyDescent="0.2">
      <c r="A243" s="132" t="s">
        <v>427</v>
      </c>
      <c r="B243" s="287" t="s">
        <v>457</v>
      </c>
      <c r="C243" s="287" t="s">
        <v>457</v>
      </c>
      <c r="D243" s="287" t="s">
        <v>457</v>
      </c>
      <c r="E243" s="73">
        <v>57690402</v>
      </c>
      <c r="F243" s="126">
        <v>0</v>
      </c>
      <c r="G243" s="73">
        <v>57690402</v>
      </c>
      <c r="H243" s="126">
        <v>0</v>
      </c>
      <c r="I243" s="126">
        <v>0</v>
      </c>
      <c r="J243" s="126">
        <v>0</v>
      </c>
      <c r="K243" s="73">
        <v>57690402</v>
      </c>
    </row>
    <row r="244" spans="1:12" ht="15" customHeight="1" x14ac:dyDescent="0.2">
      <c r="A244" s="132" t="s">
        <v>429</v>
      </c>
      <c r="B244" s="287" t="s">
        <v>457</v>
      </c>
      <c r="C244" s="287" t="s">
        <v>457</v>
      </c>
      <c r="D244" s="287" t="s">
        <v>457</v>
      </c>
      <c r="E244" s="73">
        <v>19793184</v>
      </c>
      <c r="F244" s="126">
        <v>0</v>
      </c>
      <c r="G244" s="73">
        <v>19793184</v>
      </c>
      <c r="H244" s="126">
        <v>0</v>
      </c>
      <c r="I244" s="126">
        <v>0</v>
      </c>
      <c r="J244" s="126">
        <v>0</v>
      </c>
      <c r="K244" s="73">
        <v>19793184</v>
      </c>
    </row>
    <row r="245" spans="1:12" ht="15" customHeight="1" x14ac:dyDescent="0.2">
      <c r="A245" s="100" t="s">
        <v>455</v>
      </c>
      <c r="B245" s="287" t="s">
        <v>457</v>
      </c>
      <c r="C245" s="287" t="s">
        <v>457</v>
      </c>
      <c r="D245" s="287" t="s">
        <v>457</v>
      </c>
      <c r="E245" s="73">
        <v>68077445</v>
      </c>
      <c r="F245" s="126">
        <v>0</v>
      </c>
      <c r="G245" s="73">
        <v>68077445</v>
      </c>
      <c r="H245" s="126">
        <v>0</v>
      </c>
      <c r="I245" s="126">
        <v>0</v>
      </c>
      <c r="J245" s="126">
        <v>0</v>
      </c>
      <c r="K245" s="73">
        <v>68077445</v>
      </c>
    </row>
    <row r="246" spans="1:12" ht="15" customHeight="1" x14ac:dyDescent="0.2">
      <c r="A246" s="132" t="s">
        <v>193</v>
      </c>
      <c r="B246" s="287" t="s">
        <v>457</v>
      </c>
      <c r="C246" s="287" t="s">
        <v>457</v>
      </c>
      <c r="D246" s="287" t="s">
        <v>457</v>
      </c>
      <c r="E246" s="73">
        <v>10075391</v>
      </c>
      <c r="F246" s="126">
        <v>0</v>
      </c>
      <c r="G246" s="73">
        <v>10075391</v>
      </c>
      <c r="H246" s="126">
        <v>0</v>
      </c>
      <c r="I246" s="126">
        <v>0</v>
      </c>
      <c r="J246" s="126">
        <v>0</v>
      </c>
      <c r="K246" s="73">
        <v>10075391</v>
      </c>
    </row>
    <row r="247" spans="1:12" ht="15" customHeight="1" x14ac:dyDescent="0.2">
      <c r="A247" s="79" t="s">
        <v>7</v>
      </c>
      <c r="B247" s="115" t="s">
        <v>457</v>
      </c>
      <c r="C247" s="115" t="s">
        <v>457</v>
      </c>
      <c r="D247" s="115" t="s">
        <v>457</v>
      </c>
      <c r="E247" s="117">
        <f>SUBTOTAL(109,localunfundedgrandtotal[Program
Costs])</f>
        <v>484496556</v>
      </c>
      <c r="F247" s="204">
        <f>SUBTOTAL(109,localunfundedgrandtotal[Less: Net
Payments 
and Offsets])</f>
        <v>0</v>
      </c>
      <c r="G247" s="117">
        <f>SUBTOTAL(109,localunfundedgrandtotal[Accounts Payable
Balance])</f>
        <v>484496556</v>
      </c>
      <c r="H247" s="204">
        <f>SUBTOTAL(109,localunfundedgrandtotal[Established
Accounts Receivable])</f>
        <v>0</v>
      </c>
      <c r="I247" s="204">
        <f>SUBTOTAL(109,localunfundedgrandtotal[Less:
 Recovered
Amount])</f>
        <v>0</v>
      </c>
      <c r="J247" s="204">
        <f>SUBTOTAL(109,localunfundedgrandtotal[Accounts Receivable
Balance])</f>
        <v>0</v>
      </c>
      <c r="K247" s="117">
        <f>SUBTOTAL(109,localunfundedgrandtotal[Net
Balance])</f>
        <v>484496556</v>
      </c>
    </row>
    <row r="248" spans="1:12" ht="15.75" customHeight="1" x14ac:dyDescent="0.2">
      <c r="A248" s="296" t="s">
        <v>463</v>
      </c>
      <c r="B248" s="103"/>
      <c r="C248" s="130"/>
      <c r="D248" s="103"/>
      <c r="E248" s="297"/>
      <c r="F248" s="298"/>
      <c r="G248" s="297"/>
      <c r="H248" s="298"/>
      <c r="I248" s="298"/>
      <c r="J248" s="298"/>
      <c r="K248" s="297"/>
    </row>
    <row r="249" spans="1:12" ht="62.1" customHeight="1" x14ac:dyDescent="0.2">
      <c r="A249" s="40" t="s">
        <v>15</v>
      </c>
      <c r="B249" s="40" t="s">
        <v>16</v>
      </c>
      <c r="C249" s="40" t="s">
        <v>468</v>
      </c>
      <c r="D249" s="40" t="s">
        <v>1</v>
      </c>
      <c r="E249" s="230" t="s">
        <v>3</v>
      </c>
      <c r="F249" s="231" t="s">
        <v>469</v>
      </c>
      <c r="G249" s="230" t="s">
        <v>461</v>
      </c>
      <c r="H249" s="230" t="s">
        <v>460</v>
      </c>
      <c r="I249" s="230" t="s">
        <v>470</v>
      </c>
      <c r="J249" s="230" t="s">
        <v>458</v>
      </c>
      <c r="K249" s="230" t="s">
        <v>17</v>
      </c>
    </row>
    <row r="250" spans="1:12" ht="15" customHeight="1" x14ac:dyDescent="0.2">
      <c r="A250" s="299" t="s">
        <v>6</v>
      </c>
      <c r="B250" s="300" t="s">
        <v>457</v>
      </c>
      <c r="C250" s="300" t="s">
        <v>457</v>
      </c>
      <c r="D250" s="300" t="s">
        <v>457</v>
      </c>
      <c r="E250" s="124">
        <v>484496556</v>
      </c>
      <c r="F250" s="301">
        <v>0</v>
      </c>
      <c r="G250" s="124">
        <v>484496556</v>
      </c>
      <c r="H250" s="301">
        <v>0</v>
      </c>
      <c r="I250" s="301">
        <v>0</v>
      </c>
      <c r="J250" s="301">
        <v>0</v>
      </c>
      <c r="K250" s="124">
        <v>484496556</v>
      </c>
    </row>
    <row r="251" spans="1:12" ht="15" customHeight="1" x14ac:dyDescent="0.2">
      <c r="A251" s="294" t="s">
        <v>604</v>
      </c>
      <c r="B251" s="115" t="s">
        <v>473</v>
      </c>
      <c r="C251" s="115" t="s">
        <v>457</v>
      </c>
      <c r="D251" s="115" t="s">
        <v>457</v>
      </c>
      <c r="E251" s="117">
        <f>SUBTOTAL(109,totalunfunded[Program
Costs])</f>
        <v>484496556</v>
      </c>
      <c r="F251" s="204">
        <f>SUBTOTAL(109,totalunfunded[Less: Net
Payments 
and Offsets])</f>
        <v>0</v>
      </c>
      <c r="G251" s="117">
        <f>SUBTOTAL(109,totalunfunded[Accounts Payable
Balance])</f>
        <v>484496556</v>
      </c>
      <c r="H251" s="204">
        <f>SUBTOTAL(109,totalunfunded[Established
Accounts Receivable])</f>
        <v>0</v>
      </c>
      <c r="I251" s="204">
        <f>SUBTOTAL(109,totalunfunded[Less:
 Recovered
Amount])</f>
        <v>0</v>
      </c>
      <c r="J251" s="204">
        <f>SUBTOTAL(109,totalunfunded[Accounts Receivable
Balance])</f>
        <v>0</v>
      </c>
      <c r="K251" s="117">
        <f>SUBTOTAL(109,totalunfunded[Net
Balance])</f>
        <v>484496556</v>
      </c>
    </row>
    <row r="252" spans="1:12" x14ac:dyDescent="0.2">
      <c r="A252" s="209" t="s">
        <v>605</v>
      </c>
      <c r="B252" s="215"/>
      <c r="C252" s="216"/>
      <c r="E252" s="254"/>
      <c r="F252" s="254"/>
      <c r="G252" s="254"/>
      <c r="H252" s="254"/>
      <c r="I252" s="254"/>
      <c r="J252" s="254"/>
      <c r="K252" s="254"/>
      <c r="L252" s="254"/>
    </row>
    <row r="253" spans="1:12" ht="18" x14ac:dyDescent="0.2">
      <c r="A253" s="101" t="s">
        <v>606</v>
      </c>
      <c r="B253" s="215"/>
      <c r="C253" s="216"/>
      <c r="E253" s="254"/>
      <c r="F253" s="254"/>
      <c r="G253" s="254"/>
      <c r="H253" s="254"/>
      <c r="I253" s="254"/>
      <c r="J253" s="254"/>
      <c r="K253" s="254"/>
      <c r="L253" s="254"/>
    </row>
  </sheetData>
  <hyperlinks>
    <hyperlink ref="A251" location="'Schedule B2-Local Agencies'!A252" display="Total Unfunded Mandates 8"/>
  </hyperlinks>
  <printOptions horizontalCentered="1" gridLines="1"/>
  <pageMargins left="0.3" right="0.3" top="1.1000000000000001" bottom="0.75" header="0.3" footer="0.1"/>
  <pageSetup scale="46" fitToHeight="0" orientation="landscape" r:id="rId1"/>
  <headerFooter>
    <oddFooter>&amp;LSchedule B2: Detail of Unfunded State-Mandated Programs 
Local Agencies&amp;RPage &amp;P of &amp;N</oddFooter>
  </headerFooter>
  <legacyDrawing r:id="rId2"/>
  <tableParts count="2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zoomScaleNormal="100" workbookViewId="0">
      <selection activeCell="B11" sqref="B11"/>
    </sheetView>
  </sheetViews>
  <sheetFormatPr defaultRowHeight="15" x14ac:dyDescent="0.25"/>
  <cols>
    <col min="1" max="1" width="20" bestFit="1" customWidth="1"/>
    <col min="2" max="2" width="130" bestFit="1" customWidth="1"/>
    <col min="3" max="3" width="12.140625" bestFit="1" customWidth="1"/>
  </cols>
  <sheetData>
    <row r="1" spans="1:3" ht="19.5" x14ac:dyDescent="0.25">
      <c r="A1" s="8" t="s">
        <v>520</v>
      </c>
      <c r="B1" s="9"/>
      <c r="C1" s="9"/>
    </row>
    <row r="2" spans="1:3" ht="19.5" x14ac:dyDescent="0.25">
      <c r="A2" s="8" t="s">
        <v>521</v>
      </c>
      <c r="B2" s="9"/>
      <c r="C2" s="9"/>
    </row>
    <row r="3" spans="1:3" ht="19.5" x14ac:dyDescent="0.25">
      <c r="A3" s="8" t="s">
        <v>522</v>
      </c>
      <c r="B3" s="9"/>
      <c r="C3" s="9"/>
    </row>
    <row r="4" spans="1:3" ht="18" x14ac:dyDescent="0.25">
      <c r="A4" s="10" t="s">
        <v>535</v>
      </c>
      <c r="B4" s="9"/>
      <c r="C4" s="9"/>
    </row>
    <row r="5" spans="1:3" ht="18" x14ac:dyDescent="0.25">
      <c r="A5" s="11" t="s">
        <v>536</v>
      </c>
      <c r="B5" s="9"/>
      <c r="C5" s="9"/>
    </row>
    <row r="6" spans="1:3" ht="18" x14ac:dyDescent="0.25">
      <c r="A6" s="12" t="s">
        <v>523</v>
      </c>
      <c r="B6" s="13" t="s">
        <v>524</v>
      </c>
      <c r="C6" s="14" t="s">
        <v>525</v>
      </c>
    </row>
    <row r="7" spans="1:3" ht="18" x14ac:dyDescent="0.25">
      <c r="A7" s="12" t="s">
        <v>534</v>
      </c>
      <c r="B7" s="13" t="s">
        <v>526</v>
      </c>
      <c r="C7" s="14" t="s">
        <v>599</v>
      </c>
    </row>
    <row r="8" spans="1:3" ht="18" x14ac:dyDescent="0.25">
      <c r="A8" s="11" t="s">
        <v>537</v>
      </c>
      <c r="B8" s="9"/>
      <c r="C8" s="15"/>
    </row>
    <row r="9" spans="1:3" ht="18" x14ac:dyDescent="0.25">
      <c r="A9" s="12" t="s">
        <v>527</v>
      </c>
      <c r="B9" s="13" t="s">
        <v>528</v>
      </c>
      <c r="C9" s="14" t="s">
        <v>600</v>
      </c>
    </row>
    <row r="10" spans="1:3" ht="18" x14ac:dyDescent="0.25">
      <c r="A10" s="12" t="s">
        <v>529</v>
      </c>
      <c r="B10" s="13" t="s">
        <v>530</v>
      </c>
      <c r="C10" s="14" t="s">
        <v>601</v>
      </c>
    </row>
    <row r="11" spans="1:3" ht="18" x14ac:dyDescent="0.25">
      <c r="A11" s="12" t="s">
        <v>531</v>
      </c>
      <c r="B11" s="13" t="s">
        <v>532</v>
      </c>
      <c r="C11" s="14" t="s">
        <v>602</v>
      </c>
    </row>
    <row r="12" spans="1:3" x14ac:dyDescent="0.25">
      <c r="A12" s="16"/>
      <c r="B12" s="16"/>
      <c r="C12" s="16"/>
    </row>
  </sheetData>
  <pageMargins left="0.7" right="0.7" top="0.75" bottom="0.75" header="0.3" footer="0.3"/>
  <pageSetup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topLeftCell="B22" zoomScale="70" zoomScaleNormal="70" zoomScalePageLayoutView="80" workbookViewId="0">
      <selection activeCell="J43" sqref="J43"/>
    </sheetView>
  </sheetViews>
  <sheetFormatPr defaultColWidth="9.140625" defaultRowHeight="15" x14ac:dyDescent="0.2"/>
  <cols>
    <col min="1" max="1" width="60.5703125" style="37" customWidth="1"/>
    <col min="2" max="2" width="32.7109375" style="37" bestFit="1" customWidth="1"/>
    <col min="3" max="3" width="29.5703125" style="103" bestFit="1" customWidth="1"/>
    <col min="4" max="4" width="22.85546875" style="103" bestFit="1" customWidth="1"/>
    <col min="5" max="5" width="18.5703125" style="103" bestFit="1" customWidth="1"/>
    <col min="6" max="6" width="23.28515625" style="104" bestFit="1" customWidth="1"/>
    <col min="7" max="7" width="21.5703125" style="104" bestFit="1" customWidth="1"/>
    <col min="8" max="8" width="2.5703125" style="104" customWidth="1"/>
    <col min="9" max="9" width="21.7109375" style="104" bestFit="1" customWidth="1"/>
    <col min="10" max="10" width="2.5703125" style="105" customWidth="1"/>
    <col min="11" max="11" width="25.140625" style="106" bestFit="1" customWidth="1"/>
    <col min="12" max="12" width="32.85546875" style="104" bestFit="1" customWidth="1"/>
    <col min="13" max="13" width="25.5703125" style="37" bestFit="1" customWidth="1"/>
    <col min="14" max="16384" width="9.140625" style="37"/>
  </cols>
  <sheetData>
    <row r="1" spans="1:13" ht="54" customHeight="1" x14ac:dyDescent="0.2">
      <c r="A1" s="82" t="s">
        <v>542</v>
      </c>
      <c r="B1" s="83"/>
      <c r="C1" s="83"/>
      <c r="D1" s="83"/>
      <c r="E1" s="83"/>
      <c r="F1" s="84"/>
      <c r="G1" s="84"/>
      <c r="H1" s="84"/>
      <c r="I1" s="84"/>
      <c r="J1" s="85"/>
      <c r="K1" s="86"/>
      <c r="L1" s="84"/>
      <c r="M1" s="87"/>
    </row>
    <row r="2" spans="1:13" ht="69.95" customHeight="1" x14ac:dyDescent="0.2">
      <c r="A2" s="88" t="s">
        <v>507</v>
      </c>
      <c r="B2" s="88" t="s">
        <v>450</v>
      </c>
      <c r="C2" s="88" t="s">
        <v>16</v>
      </c>
      <c r="D2" s="88" t="s">
        <v>449</v>
      </c>
      <c r="E2" s="88" t="s">
        <v>448</v>
      </c>
      <c r="F2" s="26" t="s">
        <v>447</v>
      </c>
      <c r="G2" s="89" t="s">
        <v>547</v>
      </c>
      <c r="H2" s="90" t="s">
        <v>508</v>
      </c>
      <c r="I2" s="261" t="s">
        <v>546</v>
      </c>
      <c r="J2" s="91" t="s">
        <v>457</v>
      </c>
      <c r="K2" s="25" t="s">
        <v>446</v>
      </c>
      <c r="L2" s="25" t="s">
        <v>543</v>
      </c>
      <c r="M2" s="26" t="s">
        <v>544</v>
      </c>
    </row>
    <row r="3" spans="1:13" ht="15.75" customHeight="1" x14ac:dyDescent="0.2">
      <c r="A3" s="255" t="s">
        <v>502</v>
      </c>
      <c r="B3" s="27" t="s">
        <v>538</v>
      </c>
      <c r="C3" s="28" t="s">
        <v>539</v>
      </c>
      <c r="D3" s="29" t="s">
        <v>540</v>
      </c>
      <c r="E3" s="30">
        <v>45838</v>
      </c>
      <c r="F3" s="31">
        <v>66840000</v>
      </c>
      <c r="G3" s="32">
        <v>66840000</v>
      </c>
      <c r="H3" s="50" t="s">
        <v>457</v>
      </c>
      <c r="I3" s="62">
        <v>0</v>
      </c>
      <c r="J3" s="92" t="s">
        <v>457</v>
      </c>
      <c r="K3" s="22">
        <v>537507</v>
      </c>
      <c r="L3" s="22">
        <v>51388430</v>
      </c>
      <c r="M3" s="23">
        <f>G3+K3-L3</f>
        <v>15989077</v>
      </c>
    </row>
    <row r="4" spans="1:13" ht="15.75" customHeight="1" x14ac:dyDescent="0.2">
      <c r="A4" s="255" t="s">
        <v>502</v>
      </c>
      <c r="B4" s="17" t="s">
        <v>445</v>
      </c>
      <c r="C4" s="18" t="s">
        <v>541</v>
      </c>
      <c r="D4" s="38" t="s">
        <v>457</v>
      </c>
      <c r="E4" s="20">
        <v>45473</v>
      </c>
      <c r="F4" s="21">
        <v>45623000</v>
      </c>
      <c r="G4" s="21">
        <v>4503722</v>
      </c>
      <c r="H4" s="42" t="s">
        <v>457</v>
      </c>
      <c r="I4" s="62">
        <v>0</v>
      </c>
      <c r="J4" s="93" t="s">
        <v>457</v>
      </c>
      <c r="K4" s="21">
        <v>405563</v>
      </c>
      <c r="L4" s="62">
        <v>0</v>
      </c>
      <c r="M4" s="23">
        <f t="shared" ref="M4:M5" si="0">G4+K4-L4</f>
        <v>4909285</v>
      </c>
    </row>
    <row r="5" spans="1:13" ht="15.75" customHeight="1" x14ac:dyDescent="0.2">
      <c r="A5" s="255" t="s">
        <v>502</v>
      </c>
      <c r="B5" s="33" t="s">
        <v>444</v>
      </c>
      <c r="C5" s="34" t="s">
        <v>435</v>
      </c>
      <c r="D5" s="94" t="s">
        <v>457</v>
      </c>
      <c r="E5" s="35">
        <v>45107</v>
      </c>
      <c r="F5" s="36">
        <v>41147000</v>
      </c>
      <c r="G5" s="36">
        <v>79286</v>
      </c>
      <c r="H5" s="95" t="s">
        <v>457</v>
      </c>
      <c r="I5" s="62">
        <v>0</v>
      </c>
      <c r="J5" s="96" t="s">
        <v>457</v>
      </c>
      <c r="K5" s="21">
        <v>192735</v>
      </c>
      <c r="L5" s="62">
        <v>0</v>
      </c>
      <c r="M5" s="24">
        <f t="shared" si="0"/>
        <v>272021</v>
      </c>
    </row>
    <row r="6" spans="1:13" ht="15.75" customHeight="1" x14ac:dyDescent="0.2">
      <c r="A6" s="256" t="s">
        <v>509</v>
      </c>
      <c r="B6" s="49" t="s">
        <v>457</v>
      </c>
      <c r="C6" s="50" t="s">
        <v>457</v>
      </c>
      <c r="D6" s="50" t="s">
        <v>457</v>
      </c>
      <c r="E6" s="50" t="s">
        <v>457</v>
      </c>
      <c r="F6" s="97">
        <f>SUBTOTAL(109,localgeneralfund[Original
Appropriation
Amount])</f>
        <v>153610000</v>
      </c>
      <c r="G6" s="97">
        <f>SUBTOTAL(109,localgeneralfund[Appropriation Balances 1])</f>
        <v>71423008</v>
      </c>
      <c r="H6" s="50" t="s">
        <v>457</v>
      </c>
      <c r="I6" s="264">
        <f>SUBTOTAL(109,localgeneralfund[Budget Adjustments])</f>
        <v>0</v>
      </c>
      <c r="J6" s="263" t="s">
        <v>457</v>
      </c>
      <c r="K6" s="97">
        <f>SUBTOTAL(109,localgeneralfund[Add: Receipts
and Recovered
Amounts])</f>
        <v>1135805</v>
      </c>
      <c r="L6" s="97">
        <f>SUBTOTAL(109,localgeneralfund[Less: Mandated Program Payments, Offsets, and Interest (see Schedule A1)])</f>
        <v>51388430</v>
      </c>
      <c r="M6" s="64">
        <f>SUBTOTAL(109,localgeneralfund[Appropriation
Balances
as of 4/1/2023])</f>
        <v>21170383</v>
      </c>
    </row>
    <row r="7" spans="1:13" ht="15.75" customHeight="1" x14ac:dyDescent="0.2">
      <c r="A7" s="262" t="s">
        <v>463</v>
      </c>
      <c r="B7" s="54"/>
      <c r="C7" s="54"/>
      <c r="D7" s="55"/>
      <c r="E7" s="55"/>
      <c r="F7" s="54"/>
      <c r="G7" s="54"/>
      <c r="H7" s="56"/>
      <c r="I7" s="54"/>
      <c r="J7" s="56"/>
      <c r="K7" s="56"/>
      <c r="L7" s="57"/>
      <c r="M7" s="98"/>
    </row>
    <row r="8" spans="1:13" ht="69.95" customHeight="1" x14ac:dyDescent="0.2">
      <c r="A8" s="88" t="s">
        <v>507</v>
      </c>
      <c r="B8" s="88" t="s">
        <v>450</v>
      </c>
      <c r="C8" s="88" t="s">
        <v>16</v>
      </c>
      <c r="D8" s="88" t="s">
        <v>449</v>
      </c>
      <c r="E8" s="88" t="s">
        <v>448</v>
      </c>
      <c r="F8" s="26" t="s">
        <v>447</v>
      </c>
      <c r="G8" s="89" t="s">
        <v>548</v>
      </c>
      <c r="H8" s="90" t="s">
        <v>462</v>
      </c>
      <c r="I8" s="261" t="s">
        <v>546</v>
      </c>
      <c r="J8" s="91" t="s">
        <v>457</v>
      </c>
      <c r="K8" s="25" t="s">
        <v>446</v>
      </c>
      <c r="L8" s="25" t="s">
        <v>543</v>
      </c>
      <c r="M8" s="26" t="s">
        <v>544</v>
      </c>
    </row>
    <row r="9" spans="1:13" s="99" customFormat="1" ht="15.75" customHeight="1" x14ac:dyDescent="0.2">
      <c r="A9" s="255" t="s">
        <v>503</v>
      </c>
      <c r="B9" s="17" t="s">
        <v>549</v>
      </c>
      <c r="C9" s="18" t="s">
        <v>539</v>
      </c>
      <c r="D9" s="19" t="s">
        <v>425</v>
      </c>
      <c r="E9" s="20">
        <v>45838</v>
      </c>
      <c r="F9" s="21">
        <v>1805000</v>
      </c>
      <c r="G9" s="21">
        <v>1805000</v>
      </c>
      <c r="H9" s="42" t="s">
        <v>457</v>
      </c>
      <c r="I9" s="62">
        <v>0</v>
      </c>
      <c r="J9" s="44" t="s">
        <v>457</v>
      </c>
      <c r="K9" s="21">
        <v>2913</v>
      </c>
      <c r="L9" s="21">
        <v>1699076</v>
      </c>
      <c r="M9" s="24">
        <f t="shared" ref="M9:M11" si="1">G9+K9-L9</f>
        <v>108837</v>
      </c>
    </row>
    <row r="10" spans="1:13" ht="15.75" customHeight="1" x14ac:dyDescent="0.2">
      <c r="A10" s="255" t="s">
        <v>503</v>
      </c>
      <c r="B10" s="17" t="s">
        <v>443</v>
      </c>
      <c r="C10" s="18" t="s">
        <v>541</v>
      </c>
      <c r="D10" s="38" t="s">
        <v>457</v>
      </c>
      <c r="E10" s="20">
        <v>45473</v>
      </c>
      <c r="F10" s="21">
        <v>282961</v>
      </c>
      <c r="G10" s="21">
        <v>275552</v>
      </c>
      <c r="H10" s="42" t="s">
        <v>457</v>
      </c>
      <c r="I10" s="62">
        <v>0</v>
      </c>
      <c r="J10" s="44" t="s">
        <v>457</v>
      </c>
      <c r="K10" s="21">
        <v>7409</v>
      </c>
      <c r="L10" s="62">
        <v>0</v>
      </c>
      <c r="M10" s="24">
        <f t="shared" si="1"/>
        <v>282961</v>
      </c>
    </row>
    <row r="11" spans="1:13" ht="15.75" customHeight="1" x14ac:dyDescent="0.2">
      <c r="A11" s="255" t="s">
        <v>503</v>
      </c>
      <c r="B11" s="17" t="s">
        <v>442</v>
      </c>
      <c r="C11" s="18" t="s">
        <v>435</v>
      </c>
      <c r="D11" s="38" t="s">
        <v>457</v>
      </c>
      <c r="E11" s="20">
        <v>45107</v>
      </c>
      <c r="F11" s="21">
        <v>7614</v>
      </c>
      <c r="G11" s="21">
        <v>7614</v>
      </c>
      <c r="H11" s="42" t="s">
        <v>457</v>
      </c>
      <c r="I11" s="62">
        <v>0</v>
      </c>
      <c r="J11" s="63" t="s">
        <v>457</v>
      </c>
      <c r="K11" s="62">
        <v>0</v>
      </c>
      <c r="L11" s="62">
        <v>0</v>
      </c>
      <c r="M11" s="24">
        <f t="shared" si="1"/>
        <v>7614</v>
      </c>
    </row>
    <row r="12" spans="1:13" ht="15.75" customHeight="1" x14ac:dyDescent="0.2">
      <c r="A12" s="256" t="s">
        <v>510</v>
      </c>
      <c r="B12" s="49" t="s">
        <v>457</v>
      </c>
      <c r="C12" s="50" t="s">
        <v>457</v>
      </c>
      <c r="D12" s="50" t="s">
        <v>457</v>
      </c>
      <c r="E12" s="50" t="s">
        <v>457</v>
      </c>
      <c r="F12" s="97">
        <f>SUBTOTAL(109,dmvnongeneralfund[Original
Appropriation
Amount])</f>
        <v>2095575</v>
      </c>
      <c r="G12" s="97">
        <f>SUBTOTAL(109,dmvnongeneralfund[[Appropriation Balances1 ]])</f>
        <v>2088166</v>
      </c>
      <c r="H12" s="50" t="s">
        <v>457</v>
      </c>
      <c r="I12" s="264">
        <f>SUBTOTAL(109,dmvnongeneralfund[Budget Adjustments])</f>
        <v>0</v>
      </c>
      <c r="J12" s="263" t="s">
        <v>545</v>
      </c>
      <c r="K12" s="97">
        <f>SUBTOTAL(109,dmvnongeneralfund[Add: Receipts
and Recovered
Amounts])</f>
        <v>10322</v>
      </c>
      <c r="L12" s="97">
        <f>SUBTOTAL(109,dmvnongeneralfund[Less: Mandated Program Payments, Offsets, and Interest (see Schedule A1)])</f>
        <v>1699076</v>
      </c>
      <c r="M12" s="64">
        <f>SUBTOTAL(109,dmvnongeneralfund[Appropriation
Balances
as of 4/1/2023])</f>
        <v>399412</v>
      </c>
    </row>
    <row r="13" spans="1:13" s="99" customFormat="1" x14ac:dyDescent="0.2">
      <c r="A13" s="262" t="s">
        <v>463</v>
      </c>
      <c r="B13" s="54"/>
      <c r="C13" s="54"/>
      <c r="D13" s="55"/>
      <c r="E13" s="55"/>
      <c r="F13" s="54"/>
      <c r="G13" s="54"/>
      <c r="H13" s="56"/>
      <c r="I13" s="54"/>
      <c r="J13" s="56"/>
      <c r="K13" s="56"/>
      <c r="L13" s="57"/>
      <c r="M13" s="98"/>
    </row>
    <row r="14" spans="1:13" s="99" customFormat="1" ht="69.95" customHeight="1" x14ac:dyDescent="0.2">
      <c r="A14" s="88" t="s">
        <v>507</v>
      </c>
      <c r="B14" s="88" t="s">
        <v>450</v>
      </c>
      <c r="C14" s="88" t="s">
        <v>16</v>
      </c>
      <c r="D14" s="88" t="s">
        <v>449</v>
      </c>
      <c r="E14" s="88" t="s">
        <v>448</v>
      </c>
      <c r="F14" s="26" t="s">
        <v>447</v>
      </c>
      <c r="G14" s="89" t="s">
        <v>548</v>
      </c>
      <c r="H14" s="90" t="s">
        <v>462</v>
      </c>
      <c r="I14" s="261" t="s">
        <v>546</v>
      </c>
      <c r="J14" s="91" t="s">
        <v>457</v>
      </c>
      <c r="K14" s="25" t="s">
        <v>446</v>
      </c>
      <c r="L14" s="25" t="s">
        <v>543</v>
      </c>
      <c r="M14" s="26" t="s">
        <v>544</v>
      </c>
    </row>
    <row r="15" spans="1:13" ht="15.75" customHeight="1" x14ac:dyDescent="0.2">
      <c r="A15" s="255" t="s">
        <v>504</v>
      </c>
      <c r="B15" s="41" t="s">
        <v>550</v>
      </c>
      <c r="C15" s="18" t="s">
        <v>539</v>
      </c>
      <c r="D15" s="19" t="s">
        <v>425</v>
      </c>
      <c r="E15" s="20">
        <v>45838</v>
      </c>
      <c r="F15" s="21">
        <v>49000</v>
      </c>
      <c r="G15" s="21">
        <v>49000</v>
      </c>
      <c r="H15" s="42" t="s">
        <v>457</v>
      </c>
      <c r="I15" s="43">
        <v>0</v>
      </c>
      <c r="J15" s="44" t="s">
        <v>457</v>
      </c>
      <c r="K15" s="43">
        <v>0</v>
      </c>
      <c r="L15" s="21">
        <v>49000</v>
      </c>
      <c r="M15" s="257">
        <f>G15+K15-L15</f>
        <v>0</v>
      </c>
    </row>
    <row r="16" spans="1:13" ht="15.75" customHeight="1" x14ac:dyDescent="0.2">
      <c r="A16" s="255" t="s">
        <v>504</v>
      </c>
      <c r="B16" s="41" t="s">
        <v>441</v>
      </c>
      <c r="C16" s="18" t="s">
        <v>541</v>
      </c>
      <c r="D16" s="38" t="s">
        <v>457</v>
      </c>
      <c r="E16" s="20">
        <v>45473</v>
      </c>
      <c r="F16" s="21">
        <v>47000</v>
      </c>
      <c r="G16" s="62">
        <v>0</v>
      </c>
      <c r="H16" s="42" t="s">
        <v>457</v>
      </c>
      <c r="I16" s="43">
        <v>0</v>
      </c>
      <c r="J16" s="45" t="s">
        <v>457</v>
      </c>
      <c r="K16" s="43">
        <v>0</v>
      </c>
      <c r="L16" s="43">
        <v>0</v>
      </c>
      <c r="M16" s="257">
        <f t="shared" ref="M16:M17" si="2">G16+K16-L16</f>
        <v>0</v>
      </c>
    </row>
    <row r="17" spans="1:13" ht="15.75" customHeight="1" x14ac:dyDescent="0.2">
      <c r="A17" s="255" t="s">
        <v>504</v>
      </c>
      <c r="B17" s="41" t="s">
        <v>440</v>
      </c>
      <c r="C17" s="18" t="s">
        <v>435</v>
      </c>
      <c r="D17" s="38" t="s">
        <v>457</v>
      </c>
      <c r="E17" s="20">
        <v>45107</v>
      </c>
      <c r="F17" s="21">
        <v>46000</v>
      </c>
      <c r="G17" s="62">
        <v>0</v>
      </c>
      <c r="H17" s="42" t="s">
        <v>457</v>
      </c>
      <c r="I17" s="46">
        <v>0</v>
      </c>
      <c r="J17" s="47" t="s">
        <v>457</v>
      </c>
      <c r="K17" s="46">
        <v>0</v>
      </c>
      <c r="L17" s="43">
        <v>0</v>
      </c>
      <c r="M17" s="258">
        <f t="shared" si="2"/>
        <v>0</v>
      </c>
    </row>
    <row r="18" spans="1:13" ht="15.75" customHeight="1" x14ac:dyDescent="0.2">
      <c r="A18" s="256" t="s">
        <v>511</v>
      </c>
      <c r="B18" s="49" t="s">
        <v>457</v>
      </c>
      <c r="C18" s="50" t="s">
        <v>457</v>
      </c>
      <c r="D18" s="50" t="s">
        <v>457</v>
      </c>
      <c r="E18" s="50" t="s">
        <v>457</v>
      </c>
      <c r="F18" s="97">
        <f>SUBTOTAL(109,pestnongeneralfund[Original
Appropriation
Amount])</f>
        <v>142000</v>
      </c>
      <c r="G18" s="97">
        <f>SUBTOTAL(109,pestnongeneralfund[[Appropriation Balances1 ]])</f>
        <v>49000</v>
      </c>
      <c r="H18" s="50" t="s">
        <v>457</v>
      </c>
      <c r="I18" s="264">
        <f>SUBTOTAL(109,pestnongeneralfund[Budget Adjustments])</f>
        <v>0</v>
      </c>
      <c r="J18" s="263" t="s">
        <v>457</v>
      </c>
      <c r="K18" s="97">
        <f>SUM(K15:K17)</f>
        <v>0</v>
      </c>
      <c r="L18" s="97">
        <f t="shared" ref="L18" si="3">SUM(L15:L17)</f>
        <v>49000</v>
      </c>
      <c r="M18" s="64">
        <f>SUBTOTAL(109,pestnongeneralfund[Appropriation
Balances
as of 4/1/2023])</f>
        <v>0</v>
      </c>
    </row>
    <row r="19" spans="1:13" s="99" customFormat="1" x14ac:dyDescent="0.2">
      <c r="A19" s="262" t="s">
        <v>463</v>
      </c>
      <c r="B19" s="54"/>
      <c r="C19" s="54"/>
      <c r="D19" s="55"/>
      <c r="E19" s="55"/>
      <c r="F19" s="54"/>
      <c r="G19" s="54"/>
      <c r="H19" s="56"/>
      <c r="I19" s="54"/>
      <c r="J19" s="56"/>
      <c r="K19" s="56"/>
      <c r="L19" s="57"/>
      <c r="M19" s="98"/>
    </row>
    <row r="20" spans="1:13" s="99" customFormat="1" ht="69.95" customHeight="1" x14ac:dyDescent="0.2">
      <c r="A20" s="88" t="s">
        <v>507</v>
      </c>
      <c r="B20" s="88" t="s">
        <v>450</v>
      </c>
      <c r="C20" s="88" t="s">
        <v>16</v>
      </c>
      <c r="D20" s="88" t="s">
        <v>449</v>
      </c>
      <c r="E20" s="88" t="s">
        <v>448</v>
      </c>
      <c r="F20" s="26" t="s">
        <v>447</v>
      </c>
      <c r="G20" s="89" t="s">
        <v>548</v>
      </c>
      <c r="H20" s="90" t="s">
        <v>462</v>
      </c>
      <c r="I20" s="261" t="s">
        <v>546</v>
      </c>
      <c r="J20" s="91" t="s">
        <v>457</v>
      </c>
      <c r="K20" s="25" t="s">
        <v>446</v>
      </c>
      <c r="L20" s="25" t="s">
        <v>543</v>
      </c>
      <c r="M20" s="26" t="s">
        <v>544</v>
      </c>
    </row>
    <row r="21" spans="1:13" ht="15.75" customHeight="1" x14ac:dyDescent="0.2">
      <c r="A21" s="255" t="s">
        <v>505</v>
      </c>
      <c r="B21" s="58" t="s">
        <v>551</v>
      </c>
      <c r="C21" s="18" t="s">
        <v>539</v>
      </c>
      <c r="D21" s="19" t="s">
        <v>425</v>
      </c>
      <c r="E21" s="20">
        <v>45838</v>
      </c>
      <c r="F21" s="59">
        <v>49000</v>
      </c>
      <c r="G21" s="60">
        <v>49000</v>
      </c>
      <c r="H21" s="42" t="s">
        <v>457</v>
      </c>
      <c r="I21" s="43">
        <v>0</v>
      </c>
      <c r="J21" s="61" t="s">
        <v>457</v>
      </c>
      <c r="K21" s="43">
        <v>0</v>
      </c>
      <c r="L21" s="78">
        <v>23000</v>
      </c>
      <c r="M21" s="259">
        <f t="shared" ref="M21:M23" si="4">G21+K21-L21</f>
        <v>26000</v>
      </c>
    </row>
    <row r="22" spans="1:13" s="99" customFormat="1" ht="15.75" customHeight="1" x14ac:dyDescent="0.2">
      <c r="A22" s="255" t="s">
        <v>505</v>
      </c>
      <c r="B22" s="58" t="s">
        <v>439</v>
      </c>
      <c r="C22" s="18" t="s">
        <v>541</v>
      </c>
      <c r="D22" s="38" t="s">
        <v>457</v>
      </c>
      <c r="E22" s="20">
        <v>45473</v>
      </c>
      <c r="F22" s="59">
        <v>23000</v>
      </c>
      <c r="G22" s="60">
        <v>23000</v>
      </c>
      <c r="H22" s="42" t="s">
        <v>457</v>
      </c>
      <c r="I22" s="43">
        <v>0</v>
      </c>
      <c r="J22" s="45" t="s">
        <v>457</v>
      </c>
      <c r="K22" s="43">
        <v>0</v>
      </c>
      <c r="L22" s="43">
        <v>0</v>
      </c>
      <c r="M22" s="24">
        <f t="shared" si="4"/>
        <v>23000</v>
      </c>
    </row>
    <row r="23" spans="1:13" s="99" customFormat="1" ht="15.75" customHeight="1" x14ac:dyDescent="0.2">
      <c r="A23" s="255" t="s">
        <v>505</v>
      </c>
      <c r="B23" s="58" t="s">
        <v>438</v>
      </c>
      <c r="C23" s="18" t="s">
        <v>435</v>
      </c>
      <c r="D23" s="38" t="s">
        <v>457</v>
      </c>
      <c r="E23" s="20">
        <v>45107</v>
      </c>
      <c r="F23" s="59">
        <v>17000</v>
      </c>
      <c r="G23" s="60">
        <v>17000</v>
      </c>
      <c r="H23" s="42" t="s">
        <v>457</v>
      </c>
      <c r="I23" s="62">
        <v>0</v>
      </c>
      <c r="J23" s="63" t="s">
        <v>457</v>
      </c>
      <c r="K23" s="46">
        <v>0</v>
      </c>
      <c r="L23" s="46">
        <v>0</v>
      </c>
      <c r="M23" s="24">
        <f t="shared" si="4"/>
        <v>17000</v>
      </c>
    </row>
    <row r="24" spans="1:13" s="99" customFormat="1" ht="15.75" customHeight="1" x14ac:dyDescent="0.2">
      <c r="A24" s="256" t="s">
        <v>512</v>
      </c>
      <c r="B24" s="49" t="s">
        <v>457</v>
      </c>
      <c r="C24" s="50" t="s">
        <v>457</v>
      </c>
      <c r="D24" s="50" t="s">
        <v>457</v>
      </c>
      <c r="E24" s="50" t="s">
        <v>457</v>
      </c>
      <c r="F24" s="97">
        <f>SUBTOTAL(109,sdgeneralfund[Original
Appropriation
Amount])</f>
        <v>89000</v>
      </c>
      <c r="G24" s="97">
        <f>SUBTOTAL(109,sdgeneralfund[[Appropriation Balances1 ]])</f>
        <v>89000</v>
      </c>
      <c r="H24" s="50" t="s">
        <v>457</v>
      </c>
      <c r="I24" s="264">
        <f>SUBTOTAL(109,sdgeneralfund[Budget Adjustments])</f>
        <v>0</v>
      </c>
      <c r="J24" s="263" t="s">
        <v>457</v>
      </c>
      <c r="K24" s="97">
        <f>SUBTOTAL(109,sdgeneralfund[Add: Receipts
and Recovered
Amounts])</f>
        <v>0</v>
      </c>
      <c r="L24" s="97">
        <f>SUBTOTAL(109,sdgeneralfund[Less: Mandated Program Payments, Offsets, and Interest (see Schedule A1)])</f>
        <v>23000</v>
      </c>
      <c r="M24" s="64">
        <f>SUBTOTAL(109,sdgeneralfund[Appropriation
Balances
as of 4/1/2023])</f>
        <v>66000</v>
      </c>
    </row>
    <row r="25" spans="1:13" s="99" customFormat="1" x14ac:dyDescent="0.2">
      <c r="A25" s="262" t="s">
        <v>463</v>
      </c>
      <c r="B25" s="54"/>
      <c r="C25" s="54"/>
      <c r="D25" s="55"/>
      <c r="E25" s="55"/>
      <c r="F25" s="54"/>
      <c r="G25" s="54"/>
      <c r="H25" s="56"/>
      <c r="I25" s="54"/>
      <c r="J25" s="56"/>
      <c r="K25" s="56"/>
      <c r="L25" s="57"/>
      <c r="M25" s="98"/>
    </row>
    <row r="26" spans="1:13" s="99" customFormat="1" ht="69.95" customHeight="1" x14ac:dyDescent="0.2">
      <c r="A26" s="88" t="s">
        <v>507</v>
      </c>
      <c r="B26" s="88" t="s">
        <v>450</v>
      </c>
      <c r="C26" s="88" t="s">
        <v>16</v>
      </c>
      <c r="D26" s="88" t="s">
        <v>449</v>
      </c>
      <c r="E26" s="88" t="s">
        <v>448</v>
      </c>
      <c r="F26" s="26" t="s">
        <v>447</v>
      </c>
      <c r="G26" s="89" t="s">
        <v>548</v>
      </c>
      <c r="H26" s="90" t="s">
        <v>462</v>
      </c>
      <c r="I26" s="261" t="s">
        <v>546</v>
      </c>
      <c r="J26" s="91" t="s">
        <v>457</v>
      </c>
      <c r="K26" s="25" t="s">
        <v>446</v>
      </c>
      <c r="L26" s="25" t="s">
        <v>543</v>
      </c>
      <c r="M26" s="26" t="s">
        <v>544</v>
      </c>
    </row>
    <row r="27" spans="1:13" ht="15.75" customHeight="1" x14ac:dyDescent="0.2">
      <c r="A27" s="255" t="s">
        <v>506</v>
      </c>
      <c r="B27" s="65" t="s">
        <v>552</v>
      </c>
      <c r="C27" s="18" t="s">
        <v>539</v>
      </c>
      <c r="D27" s="38" t="s">
        <v>457</v>
      </c>
      <c r="E27" s="20">
        <v>45838</v>
      </c>
      <c r="F27" s="66">
        <v>13000</v>
      </c>
      <c r="G27" s="66">
        <v>13000</v>
      </c>
      <c r="H27" s="42" t="s">
        <v>457</v>
      </c>
      <c r="I27" s="62">
        <v>0</v>
      </c>
      <c r="J27" s="67" t="s">
        <v>457</v>
      </c>
      <c r="K27" s="43">
        <v>0</v>
      </c>
      <c r="L27" s="43">
        <v>0</v>
      </c>
      <c r="M27" s="259">
        <f t="shared" ref="M27:M29" si="5">G27+K27-L27+I27</f>
        <v>13000</v>
      </c>
    </row>
    <row r="28" spans="1:13" ht="15.75" customHeight="1" x14ac:dyDescent="0.2">
      <c r="A28" s="255" t="s">
        <v>506</v>
      </c>
      <c r="B28" s="65" t="s">
        <v>437</v>
      </c>
      <c r="C28" s="18" t="s">
        <v>541</v>
      </c>
      <c r="D28" s="38" t="s">
        <v>457</v>
      </c>
      <c r="E28" s="20">
        <v>45473</v>
      </c>
      <c r="F28" s="66">
        <v>13000</v>
      </c>
      <c r="G28" s="66">
        <v>13000</v>
      </c>
      <c r="H28" s="42" t="s">
        <v>457</v>
      </c>
      <c r="I28" s="62">
        <v>0</v>
      </c>
      <c r="J28" s="67" t="s">
        <v>558</v>
      </c>
      <c r="K28" s="43">
        <v>0</v>
      </c>
      <c r="L28" s="43">
        <v>0</v>
      </c>
      <c r="M28" s="80">
        <f t="shared" si="5"/>
        <v>13000</v>
      </c>
    </row>
    <row r="29" spans="1:13" ht="15.75" customHeight="1" x14ac:dyDescent="0.2">
      <c r="A29" s="255" t="s">
        <v>506</v>
      </c>
      <c r="B29" s="65" t="s">
        <v>436</v>
      </c>
      <c r="C29" s="18" t="s">
        <v>435</v>
      </c>
      <c r="D29" s="38" t="s">
        <v>457</v>
      </c>
      <c r="E29" s="20">
        <v>45107</v>
      </c>
      <c r="F29" s="66">
        <v>13000</v>
      </c>
      <c r="G29" s="66">
        <v>13000</v>
      </c>
      <c r="H29" s="42" t="s">
        <v>457</v>
      </c>
      <c r="I29" s="292">
        <v>-13000</v>
      </c>
      <c r="J29" s="291">
        <v>2</v>
      </c>
      <c r="K29" s="46">
        <v>0</v>
      </c>
      <c r="L29" s="46">
        <v>0</v>
      </c>
      <c r="M29" s="258">
        <f t="shared" si="5"/>
        <v>0</v>
      </c>
    </row>
    <row r="30" spans="1:13" ht="15.75" customHeight="1" x14ac:dyDescent="0.2">
      <c r="A30" s="256" t="s">
        <v>513</v>
      </c>
      <c r="B30" s="49" t="s">
        <v>457</v>
      </c>
      <c r="C30" s="50" t="s">
        <v>457</v>
      </c>
      <c r="D30" s="50" t="s">
        <v>457</v>
      </c>
      <c r="E30" s="50" t="s">
        <v>457</v>
      </c>
      <c r="F30" s="97">
        <f>SUBTOTAL(109,ccdgeneralfund[Original
Appropriation
Amount])</f>
        <v>39000</v>
      </c>
      <c r="G30" s="97">
        <f>SUBTOTAL(109,ccdgeneralfund[[Appropriation Balances1 ]])</f>
        <v>39000</v>
      </c>
      <c r="H30" s="50" t="s">
        <v>457</v>
      </c>
      <c r="I30" s="264">
        <f>SUBTOTAL(109,ccdgeneralfund[Budget Adjustments])</f>
        <v>-13000</v>
      </c>
      <c r="J30" s="263" t="s">
        <v>457</v>
      </c>
      <c r="K30" s="97">
        <f>SUBTOTAL(109,ccdgeneralfund[Add: Receipts
and Recovered
Amounts])</f>
        <v>0</v>
      </c>
      <c r="L30" s="97">
        <f>SUBTOTAL(109,ccdgeneralfund[Less: Mandated Program Payments, Offsets, and Interest (see Schedule A1)])</f>
        <v>0</v>
      </c>
      <c r="M30" s="64">
        <f>SUBTOTAL(109,ccdgeneralfund[Appropriation
Balances
as of 4/1/2023])</f>
        <v>26000</v>
      </c>
    </row>
    <row r="31" spans="1:13" s="99" customFormat="1" x14ac:dyDescent="0.2">
      <c r="A31" s="262" t="s">
        <v>463</v>
      </c>
      <c r="B31" s="54"/>
      <c r="C31" s="54"/>
      <c r="D31" s="55"/>
      <c r="E31" s="55"/>
      <c r="F31" s="54"/>
      <c r="G31" s="54"/>
      <c r="H31" s="56"/>
      <c r="I31" s="54"/>
      <c r="J31" s="56"/>
      <c r="K31" s="56"/>
      <c r="L31" s="57"/>
      <c r="M31" s="98"/>
    </row>
    <row r="32" spans="1:13" s="99" customFormat="1" ht="69.95" customHeight="1" x14ac:dyDescent="0.2">
      <c r="A32" s="88" t="s">
        <v>507</v>
      </c>
      <c r="B32" s="88" t="s">
        <v>450</v>
      </c>
      <c r="C32" s="88" t="s">
        <v>16</v>
      </c>
      <c r="D32" s="88" t="s">
        <v>449</v>
      </c>
      <c r="E32" s="88" t="s">
        <v>448</v>
      </c>
      <c r="F32" s="26" t="s">
        <v>447</v>
      </c>
      <c r="G32" s="89" t="s">
        <v>548</v>
      </c>
      <c r="H32" s="90" t="s">
        <v>462</v>
      </c>
      <c r="I32" s="261" t="s">
        <v>546</v>
      </c>
      <c r="J32" s="91" t="s">
        <v>457</v>
      </c>
      <c r="K32" s="25" t="s">
        <v>446</v>
      </c>
      <c r="L32" s="25" t="s">
        <v>543</v>
      </c>
      <c r="M32" s="26" t="s">
        <v>544</v>
      </c>
    </row>
    <row r="33" spans="1:13" ht="15.75" customHeight="1" x14ac:dyDescent="0.2">
      <c r="A33" s="260" t="s">
        <v>502</v>
      </c>
      <c r="B33" s="68" t="s">
        <v>457</v>
      </c>
      <c r="C33" s="69" t="s">
        <v>457</v>
      </c>
      <c r="D33" s="69" t="s">
        <v>457</v>
      </c>
      <c r="E33" s="69" t="s">
        <v>457</v>
      </c>
      <c r="F33" s="32">
        <f>localgeneralfund[[#Totals],[Original
Appropriation
Amount]]</f>
        <v>153610000</v>
      </c>
      <c r="G33" s="32">
        <f>localgeneralfund[[#Totals],[Appropriation Balances 1]]</f>
        <v>71423008</v>
      </c>
      <c r="H33" s="268" t="s">
        <v>457</v>
      </c>
      <c r="I33" s="269">
        <f>localgeneralfund[[#Totals],[Budget Adjustments]]</f>
        <v>0</v>
      </c>
      <c r="J33" s="270" t="s">
        <v>457</v>
      </c>
      <c r="K33" s="271">
        <f>localgeneralfund[[#Totals],[Add: Receipts
and Recovered
Amounts]]</f>
        <v>1135805</v>
      </c>
      <c r="L33" s="32">
        <f>localgeneralfund[[#Totals],[Less: Mandated Program Payments, Offsets, and Interest (see Schedule A1)]]</f>
        <v>51388430</v>
      </c>
      <c r="M33" s="272">
        <f>localgeneralfund[[#Totals],[Appropriation
Balances
as of 4/1/2023]]</f>
        <v>21170383</v>
      </c>
    </row>
    <row r="34" spans="1:13" ht="15.75" customHeight="1" x14ac:dyDescent="0.2">
      <c r="A34" s="255" t="s">
        <v>503</v>
      </c>
      <c r="B34" s="71" t="s">
        <v>457</v>
      </c>
      <c r="C34" s="53" t="s">
        <v>457</v>
      </c>
      <c r="D34" s="53" t="s">
        <v>457</v>
      </c>
      <c r="E34" s="53" t="s">
        <v>457</v>
      </c>
      <c r="F34" s="22">
        <f>dmvnongeneralfund[[#Totals],[Original
Appropriation
Amount]]</f>
        <v>2095575</v>
      </c>
      <c r="G34" s="273">
        <f>dmvnongeneralfund[[#Totals],[Appropriation Balances1 ]]</f>
        <v>2088166</v>
      </c>
      <c r="H34" s="274" t="s">
        <v>457</v>
      </c>
      <c r="I34" s="275">
        <f>dmvnongeneralfund[[#Totals],[Budget Adjustments]]</f>
        <v>0</v>
      </c>
      <c r="J34" s="276" t="s">
        <v>457</v>
      </c>
      <c r="K34" s="273">
        <f>dmvnongeneralfund[[#Totals],[Add: Receipts
and Recovered
Amounts]]</f>
        <v>10322</v>
      </c>
      <c r="L34" s="22">
        <f>dmvnongeneralfund[[#Totals],[Less: Mandated Program Payments, Offsets, and Interest (see Schedule A1)]]</f>
        <v>1699076</v>
      </c>
      <c r="M34" s="277">
        <f>dmvnongeneralfund[[#Totals],[Appropriation
Balances
as of 4/1/2023]]</f>
        <v>399412</v>
      </c>
    </row>
    <row r="35" spans="1:13" ht="15.75" customHeight="1" x14ac:dyDescent="0.2">
      <c r="A35" s="255" t="s">
        <v>504</v>
      </c>
      <c r="B35" s="71" t="s">
        <v>457</v>
      </c>
      <c r="C35" s="53" t="s">
        <v>457</v>
      </c>
      <c r="D35" s="53" t="s">
        <v>457</v>
      </c>
      <c r="E35" s="53" t="s">
        <v>457</v>
      </c>
      <c r="F35" s="273">
        <f>pestnongeneralfund[[#Totals],[Original
Appropriation
Amount]]</f>
        <v>142000</v>
      </c>
      <c r="G35" s="273">
        <f>pestnongeneralfund[[#Totals],[Appropriation Balances1 ]]</f>
        <v>49000</v>
      </c>
      <c r="H35" s="274" t="s">
        <v>457</v>
      </c>
      <c r="I35" s="275">
        <f>pestnongeneralfund[[#Totals],[Budget Adjustments]]</f>
        <v>0</v>
      </c>
      <c r="J35" s="276" t="s">
        <v>457</v>
      </c>
      <c r="K35" s="275">
        <f>pestnongeneralfund[[#Totals],[Add: Receipts
and Recovered
Amounts]]</f>
        <v>0</v>
      </c>
      <c r="L35" s="22">
        <f>pestnongeneralfund[[#Totals],[Less: Mandated Program Payments, Offsets, and Interest (see Schedule A1)]]</f>
        <v>49000</v>
      </c>
      <c r="M35" s="278">
        <f>pestnongeneralfund[[#Totals],[Appropriation
Balances
as of 4/1/2023]]</f>
        <v>0</v>
      </c>
    </row>
    <row r="36" spans="1:13" ht="15.75" customHeight="1" x14ac:dyDescent="0.2">
      <c r="A36" s="255" t="s">
        <v>505</v>
      </c>
      <c r="B36" s="71" t="s">
        <v>457</v>
      </c>
      <c r="C36" s="53" t="s">
        <v>457</v>
      </c>
      <c r="D36" s="53" t="s">
        <v>457</v>
      </c>
      <c r="E36" s="53" t="s">
        <v>457</v>
      </c>
      <c r="F36" s="279">
        <f>sdgeneralfund[[#Totals],[Original
Appropriation
Amount]]</f>
        <v>89000</v>
      </c>
      <c r="G36" s="273">
        <f>sdgeneralfund[[#Totals],[Appropriation Balances1 ]]</f>
        <v>89000</v>
      </c>
      <c r="H36" s="274" t="s">
        <v>457</v>
      </c>
      <c r="I36" s="275">
        <f>sdgeneralfund[[#Totals],[Budget Adjustments]]</f>
        <v>0</v>
      </c>
      <c r="J36" s="280" t="s">
        <v>457</v>
      </c>
      <c r="K36" s="275">
        <f>sdgeneralfund[[#Totals],[Add: Receipts
and Recovered
Amounts]]</f>
        <v>0</v>
      </c>
      <c r="L36" s="22">
        <f>sdgeneralfund[[#Totals],[Less: Mandated Program Payments, Offsets, and Interest (see Schedule A1)]]</f>
        <v>23000</v>
      </c>
      <c r="M36" s="277">
        <f>sdgeneralfund[[#Totals],[Appropriation
Balances
as of 4/1/2023]]</f>
        <v>66000</v>
      </c>
    </row>
    <row r="37" spans="1:13" ht="15.75" customHeight="1" x14ac:dyDescent="0.2">
      <c r="A37" s="255" t="s">
        <v>506</v>
      </c>
      <c r="B37" s="71" t="s">
        <v>457</v>
      </c>
      <c r="C37" s="53" t="s">
        <v>457</v>
      </c>
      <c r="D37" s="53" t="s">
        <v>457</v>
      </c>
      <c r="E37" s="53" t="s">
        <v>457</v>
      </c>
      <c r="F37" s="281">
        <f>ccdgeneralfund[[#Totals],[Original
Appropriation
Amount]]</f>
        <v>39000</v>
      </c>
      <c r="G37" s="281">
        <f>ccdgeneralfund[[#Totals],[Appropriation Balances1 ]]</f>
        <v>39000</v>
      </c>
      <c r="H37" s="282" t="s">
        <v>457</v>
      </c>
      <c r="I37" s="283">
        <f>ccdgeneralfund[[#Totals],[Budget Adjustments]]</f>
        <v>-13000</v>
      </c>
      <c r="J37" s="284" t="s">
        <v>457</v>
      </c>
      <c r="K37" s="283">
        <f>ccdgeneralfund[[#Totals],[Add: Receipts
and Recovered
Amounts]]</f>
        <v>0</v>
      </c>
      <c r="L37" s="283">
        <f>ccdgeneralfund[[#Totals],[Less: Mandated Program Payments, Offsets, and Interest (see Schedule A1)]]</f>
        <v>0</v>
      </c>
      <c r="M37" s="285">
        <f>ccdgeneralfund[[#Totals],[Appropriation
Balances
as of 4/1/2023]]</f>
        <v>26000</v>
      </c>
    </row>
    <row r="38" spans="1:13" ht="15.75" customHeight="1" x14ac:dyDescent="0.2">
      <c r="A38" s="256" t="s">
        <v>501</v>
      </c>
      <c r="B38" s="74" t="s">
        <v>457</v>
      </c>
      <c r="C38" s="75" t="s">
        <v>457</v>
      </c>
      <c r="D38" s="75" t="s">
        <v>457</v>
      </c>
      <c r="E38" s="75" t="s">
        <v>457</v>
      </c>
      <c r="F38" s="265">
        <f>SUBTOTAL(109,grandtotala[Original
Appropriation
Amount])</f>
        <v>155975575</v>
      </c>
      <c r="G38" s="265">
        <f>SUBTOTAL(109,grandtotala[[Appropriation Balances1 ]])</f>
        <v>73688174</v>
      </c>
      <c r="H38" s="75" t="s">
        <v>457</v>
      </c>
      <c r="I38" s="266">
        <f>SUBTOTAL(109,grandtotala[Budget Adjustments])</f>
        <v>-13000</v>
      </c>
      <c r="J38" s="267" t="s">
        <v>457</v>
      </c>
      <c r="K38" s="265">
        <f>SUBTOTAL(109,grandtotala[Add: Receipts
and Recovered
Amounts])</f>
        <v>1146127</v>
      </c>
      <c r="L38" s="265">
        <f>SUBTOTAL(109,grandtotala[Less: Mandated Program Payments, Offsets, and Interest (see Schedule A1)])</f>
        <v>53159506</v>
      </c>
      <c r="M38" s="286">
        <f>SUBTOTAL(109,grandtotala[Appropriation
Balances
as of 4/1/2023])</f>
        <v>21661795</v>
      </c>
    </row>
    <row r="39" spans="1:13" s="101" customFormat="1" ht="17.25" x14ac:dyDescent="0.25">
      <c r="A39" s="100" t="s">
        <v>559</v>
      </c>
      <c r="C39" s="100"/>
      <c r="D39" s="100"/>
      <c r="E39" s="100"/>
      <c r="F39" s="100"/>
      <c r="G39" s="100"/>
      <c r="H39" s="100"/>
      <c r="I39" s="100"/>
      <c r="J39" s="102"/>
      <c r="K39" s="100"/>
      <c r="L39" s="100"/>
    </row>
    <row r="40" spans="1:13" ht="18" x14ac:dyDescent="0.2">
      <c r="A40" s="37" t="s">
        <v>553</v>
      </c>
      <c r="B40" s="101"/>
    </row>
    <row r="41" spans="1:13" ht="18" x14ac:dyDescent="0.2">
      <c r="A41" s="37" t="s">
        <v>554</v>
      </c>
    </row>
  </sheetData>
  <hyperlinks>
    <hyperlink ref="G2" location="'Schedule A-Summary'!A39" display="Appropriation Balances 1"/>
    <hyperlink ref="I29" location="'Schedule A-Summary'!A39" display="'Schedule A-Summary'!A39"/>
  </hyperlinks>
  <printOptions horizontalCentered="1" gridLines="1"/>
  <pageMargins left="0.35" right="0.35" top="1" bottom="0.75" header="0.4" footer="0.1"/>
  <pageSetup scale="41" fitToHeight="0" orientation="landscape" r:id="rId1"/>
  <headerFooter>
    <oddFooter>&amp;LSchedule A: Summary of State-Mandated Program Appropriations, Receipts, and Payments
&amp;RPage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0"/>
  <sheetViews>
    <sheetView zoomScale="70" zoomScaleNormal="70" workbookViewId="0">
      <selection activeCell="I58" sqref="I58"/>
    </sheetView>
  </sheetViews>
  <sheetFormatPr defaultRowHeight="15" x14ac:dyDescent="0.2"/>
  <cols>
    <col min="1" max="1" width="40.7109375" style="37" bestFit="1" customWidth="1"/>
    <col min="2" max="2" width="12.5703125" style="103" bestFit="1" customWidth="1"/>
    <col min="3" max="3" width="30.28515625" style="103" bestFit="1" customWidth="1"/>
    <col min="4" max="4" width="95.5703125" style="37" bestFit="1" customWidth="1"/>
    <col min="5" max="5" width="20.28515625" style="103" bestFit="1" customWidth="1"/>
    <col min="6" max="6" width="16.85546875" style="37" bestFit="1" customWidth="1"/>
    <col min="7" max="8" width="20.5703125" style="37" bestFit="1" customWidth="1"/>
    <col min="9" max="9" width="20" style="37" bestFit="1" customWidth="1"/>
    <col min="10" max="10" width="19.7109375" style="37" customWidth="1"/>
    <col min="11" max="11" width="11.5703125" style="37" customWidth="1"/>
    <col min="12" max="12" width="40.7109375" style="37" customWidth="1"/>
    <col min="13" max="13" width="6" style="37" customWidth="1"/>
    <col min="14" max="15" width="15.42578125" style="37" customWidth="1"/>
    <col min="16" max="16" width="14.85546875" style="37" customWidth="1"/>
    <col min="17" max="17" width="15.5703125" style="37" customWidth="1"/>
    <col min="18" max="18" width="16" style="37" customWidth="1"/>
    <col min="19" max="19" width="16.140625" style="37" customWidth="1"/>
    <col min="20" max="20" width="11.5703125" style="37" bestFit="1" customWidth="1"/>
    <col min="21" max="16384" width="9.140625" style="37"/>
  </cols>
  <sheetData>
    <row r="1" spans="1:10" ht="54" customHeight="1" x14ac:dyDescent="0.2">
      <c r="A1" s="82" t="s">
        <v>556</v>
      </c>
      <c r="B1" s="108"/>
      <c r="C1" s="82"/>
      <c r="D1" s="83"/>
      <c r="E1" s="83"/>
      <c r="F1" s="83"/>
      <c r="G1" s="83"/>
      <c r="H1" s="83"/>
      <c r="I1" s="83"/>
    </row>
    <row r="2" spans="1:10" ht="48" customHeight="1" x14ac:dyDescent="0.2">
      <c r="A2" s="40" t="s">
        <v>487</v>
      </c>
      <c r="B2" s="40" t="s">
        <v>1</v>
      </c>
      <c r="C2" s="40" t="s">
        <v>450</v>
      </c>
      <c r="D2" s="40" t="s">
        <v>15</v>
      </c>
      <c r="E2" s="40" t="s">
        <v>16</v>
      </c>
      <c r="F2" s="40" t="s">
        <v>454</v>
      </c>
      <c r="G2" s="40" t="s">
        <v>496</v>
      </c>
      <c r="H2" s="40" t="s">
        <v>493</v>
      </c>
      <c r="I2" s="40" t="s">
        <v>453</v>
      </c>
    </row>
    <row r="3" spans="1:10" ht="15" customHeight="1" x14ac:dyDescent="0.2">
      <c r="A3" s="37" t="s">
        <v>498</v>
      </c>
      <c r="B3" s="103" t="s">
        <v>425</v>
      </c>
      <c r="C3" s="103" t="s">
        <v>538</v>
      </c>
      <c r="D3" s="37" t="s">
        <v>21</v>
      </c>
      <c r="E3" s="37" t="s">
        <v>22</v>
      </c>
      <c r="F3" s="103">
        <v>152</v>
      </c>
      <c r="G3" s="107">
        <v>624000</v>
      </c>
      <c r="H3" s="128">
        <v>0</v>
      </c>
      <c r="I3" s="107">
        <f t="shared" ref="I3:I35" si="0">G3+H3</f>
        <v>624000</v>
      </c>
      <c r="J3" s="109"/>
    </row>
    <row r="4" spans="1:10" ht="15" customHeight="1" x14ac:dyDescent="0.2">
      <c r="A4" s="37" t="s">
        <v>498</v>
      </c>
      <c r="B4" s="103" t="s">
        <v>425</v>
      </c>
      <c r="C4" s="103" t="s">
        <v>538</v>
      </c>
      <c r="D4" s="37" t="s">
        <v>27</v>
      </c>
      <c r="E4" s="37" t="s">
        <v>28</v>
      </c>
      <c r="F4" s="103">
        <v>13</v>
      </c>
      <c r="G4" s="107">
        <v>12507567</v>
      </c>
      <c r="H4" s="128">
        <v>0</v>
      </c>
      <c r="I4" s="107">
        <f t="shared" si="0"/>
        <v>12507567</v>
      </c>
      <c r="J4" s="109"/>
    </row>
    <row r="5" spans="1:10" ht="15" customHeight="1" x14ac:dyDescent="0.2">
      <c r="A5" s="37" t="s">
        <v>498</v>
      </c>
      <c r="B5" s="103" t="s">
        <v>425</v>
      </c>
      <c r="C5" s="103" t="s">
        <v>538</v>
      </c>
      <c r="D5" s="37" t="s">
        <v>25</v>
      </c>
      <c r="E5" s="37" t="s">
        <v>26</v>
      </c>
      <c r="F5" s="103">
        <v>262</v>
      </c>
      <c r="G5" s="122">
        <v>183998</v>
      </c>
      <c r="H5" s="128">
        <v>0</v>
      </c>
      <c r="I5" s="107">
        <f t="shared" si="0"/>
        <v>183998</v>
      </c>
      <c r="J5" s="109"/>
    </row>
    <row r="6" spans="1:10" ht="15" customHeight="1" x14ac:dyDescent="0.2">
      <c r="A6" s="37" t="s">
        <v>498</v>
      </c>
      <c r="B6" s="103" t="s">
        <v>425</v>
      </c>
      <c r="C6" s="103" t="s">
        <v>538</v>
      </c>
      <c r="D6" s="37" t="s">
        <v>29</v>
      </c>
      <c r="E6" s="37" t="s">
        <v>30</v>
      </c>
      <c r="F6" s="103">
        <v>167</v>
      </c>
      <c r="G6" s="122">
        <v>9909000</v>
      </c>
      <c r="H6" s="128">
        <v>0</v>
      </c>
      <c r="I6" s="107">
        <f>G6+H6</f>
        <v>9909000</v>
      </c>
      <c r="J6" s="109"/>
    </row>
    <row r="7" spans="1:10" ht="15" customHeight="1" x14ac:dyDescent="0.2">
      <c r="A7" s="37" t="s">
        <v>498</v>
      </c>
      <c r="B7" s="103" t="s">
        <v>425</v>
      </c>
      <c r="C7" s="103" t="s">
        <v>538</v>
      </c>
      <c r="D7" s="37" t="s">
        <v>31</v>
      </c>
      <c r="E7" s="37" t="s">
        <v>32</v>
      </c>
      <c r="F7" s="103">
        <v>274</v>
      </c>
      <c r="G7" s="122">
        <v>2367993</v>
      </c>
      <c r="H7" s="128">
        <v>0</v>
      </c>
      <c r="I7" s="107">
        <f t="shared" si="0"/>
        <v>2367993</v>
      </c>
      <c r="J7" s="109"/>
    </row>
    <row r="8" spans="1:10" ht="15" customHeight="1" x14ac:dyDescent="0.2">
      <c r="A8" s="37" t="s">
        <v>498</v>
      </c>
      <c r="B8" s="103" t="s">
        <v>425</v>
      </c>
      <c r="C8" s="103" t="s">
        <v>538</v>
      </c>
      <c r="D8" s="37" t="s">
        <v>33</v>
      </c>
      <c r="E8" s="37" t="s">
        <v>34</v>
      </c>
      <c r="F8" s="103">
        <v>177</v>
      </c>
      <c r="G8" s="122">
        <v>2131813</v>
      </c>
      <c r="H8" s="128">
        <v>0</v>
      </c>
      <c r="I8" s="107">
        <f t="shared" si="0"/>
        <v>2131813</v>
      </c>
      <c r="J8" s="109"/>
    </row>
    <row r="9" spans="1:10" ht="15" customHeight="1" x14ac:dyDescent="0.2">
      <c r="A9" s="37" t="s">
        <v>498</v>
      </c>
      <c r="B9" s="103" t="s">
        <v>425</v>
      </c>
      <c r="C9" s="103" t="s">
        <v>538</v>
      </c>
      <c r="D9" s="37" t="s">
        <v>35</v>
      </c>
      <c r="E9" s="37" t="s">
        <v>36</v>
      </c>
      <c r="F9" s="103">
        <v>197</v>
      </c>
      <c r="G9" s="122">
        <v>2483059</v>
      </c>
      <c r="H9" s="128">
        <v>0</v>
      </c>
      <c r="I9" s="107">
        <f t="shared" si="0"/>
        <v>2483059</v>
      </c>
      <c r="J9" s="109"/>
    </row>
    <row r="10" spans="1:10" ht="15" customHeight="1" x14ac:dyDescent="0.2">
      <c r="A10" s="37" t="s">
        <v>498</v>
      </c>
      <c r="B10" s="103" t="s">
        <v>425</v>
      </c>
      <c r="C10" s="103" t="s">
        <v>538</v>
      </c>
      <c r="D10" s="37" t="s">
        <v>37</v>
      </c>
      <c r="E10" s="37" t="s">
        <v>38</v>
      </c>
      <c r="F10" s="103">
        <v>371</v>
      </c>
      <c r="G10" s="122">
        <v>90014</v>
      </c>
      <c r="H10" s="128">
        <v>0</v>
      </c>
      <c r="I10" s="107">
        <f t="shared" si="0"/>
        <v>90014</v>
      </c>
      <c r="J10" s="109"/>
    </row>
    <row r="11" spans="1:10" x14ac:dyDescent="0.2">
      <c r="A11" s="37" t="s">
        <v>498</v>
      </c>
      <c r="B11" s="103" t="s">
        <v>425</v>
      </c>
      <c r="C11" s="103" t="s">
        <v>538</v>
      </c>
      <c r="D11" s="37" t="s">
        <v>39</v>
      </c>
      <c r="E11" s="37" t="s">
        <v>40</v>
      </c>
      <c r="F11" s="103">
        <v>334</v>
      </c>
      <c r="G11" s="122">
        <v>15000</v>
      </c>
      <c r="H11" s="128">
        <v>0</v>
      </c>
      <c r="I11" s="107">
        <f t="shared" si="0"/>
        <v>15000</v>
      </c>
      <c r="J11" s="109"/>
    </row>
    <row r="12" spans="1:10" x14ac:dyDescent="0.2">
      <c r="A12" s="37" t="s">
        <v>498</v>
      </c>
      <c r="B12" s="103" t="s">
        <v>425</v>
      </c>
      <c r="C12" s="103" t="s">
        <v>538</v>
      </c>
      <c r="D12" s="37" t="s">
        <v>41</v>
      </c>
      <c r="E12" s="37" t="s">
        <v>42</v>
      </c>
      <c r="F12" s="103">
        <v>43</v>
      </c>
      <c r="G12" s="122">
        <v>8000</v>
      </c>
      <c r="H12" s="128">
        <v>0</v>
      </c>
      <c r="I12" s="107">
        <f t="shared" si="0"/>
        <v>8000</v>
      </c>
      <c r="J12" s="109"/>
    </row>
    <row r="13" spans="1:10" x14ac:dyDescent="0.2">
      <c r="A13" s="37" t="s">
        <v>498</v>
      </c>
      <c r="B13" s="103" t="s">
        <v>425</v>
      </c>
      <c r="C13" s="103" t="s">
        <v>538</v>
      </c>
      <c r="D13" s="37" t="s">
        <v>43</v>
      </c>
      <c r="E13" s="37" t="s">
        <v>44</v>
      </c>
      <c r="F13" s="103">
        <v>361</v>
      </c>
      <c r="G13" s="122">
        <v>1119</v>
      </c>
      <c r="H13" s="128">
        <v>0</v>
      </c>
      <c r="I13" s="107">
        <f t="shared" si="0"/>
        <v>1119</v>
      </c>
      <c r="J13" s="109"/>
    </row>
    <row r="14" spans="1:10" x14ac:dyDescent="0.2">
      <c r="A14" s="37" t="s">
        <v>498</v>
      </c>
      <c r="B14" s="103" t="s">
        <v>69</v>
      </c>
      <c r="C14" s="103" t="s">
        <v>538</v>
      </c>
      <c r="D14" s="37" t="s">
        <v>186</v>
      </c>
      <c r="E14" s="37" t="s">
        <v>187</v>
      </c>
      <c r="F14" s="103">
        <v>314</v>
      </c>
      <c r="G14" s="122">
        <v>244451</v>
      </c>
      <c r="H14" s="128">
        <v>0</v>
      </c>
      <c r="I14" s="107">
        <f t="shared" si="0"/>
        <v>244451</v>
      </c>
      <c r="J14" s="109"/>
    </row>
    <row r="15" spans="1:10" x14ac:dyDescent="0.2">
      <c r="A15" s="37" t="s">
        <v>498</v>
      </c>
      <c r="B15" s="103" t="s">
        <v>70</v>
      </c>
      <c r="C15" s="103" t="s">
        <v>538</v>
      </c>
      <c r="D15" s="37" t="s">
        <v>186</v>
      </c>
      <c r="E15" s="37" t="s">
        <v>187</v>
      </c>
      <c r="F15" s="103">
        <v>314</v>
      </c>
      <c r="G15" s="107">
        <v>372223</v>
      </c>
      <c r="H15" s="128">
        <v>0</v>
      </c>
      <c r="I15" s="107">
        <f t="shared" si="0"/>
        <v>372223</v>
      </c>
      <c r="J15" s="109"/>
    </row>
    <row r="16" spans="1:10" x14ac:dyDescent="0.2">
      <c r="A16" s="37" t="s">
        <v>498</v>
      </c>
      <c r="B16" s="103" t="s">
        <v>73</v>
      </c>
      <c r="C16" s="103" t="s">
        <v>538</v>
      </c>
      <c r="D16" s="37" t="s">
        <v>186</v>
      </c>
      <c r="E16" s="37" t="s">
        <v>187</v>
      </c>
      <c r="F16" s="103">
        <v>314</v>
      </c>
      <c r="G16" s="107">
        <v>377417</v>
      </c>
      <c r="H16" s="128">
        <v>0</v>
      </c>
      <c r="I16" s="107">
        <f t="shared" ref="I16:I20" si="1">G16+H16</f>
        <v>377417</v>
      </c>
      <c r="J16" s="109"/>
    </row>
    <row r="17" spans="1:10" x14ac:dyDescent="0.2">
      <c r="A17" s="37" t="s">
        <v>498</v>
      </c>
      <c r="B17" s="103" t="s">
        <v>13</v>
      </c>
      <c r="C17" s="103" t="s">
        <v>538</v>
      </c>
      <c r="D17" s="37" t="s">
        <v>186</v>
      </c>
      <c r="E17" s="37" t="s">
        <v>187</v>
      </c>
      <c r="F17" s="103">
        <v>314</v>
      </c>
      <c r="G17" s="107">
        <v>387912</v>
      </c>
      <c r="H17" s="128">
        <v>0</v>
      </c>
      <c r="I17" s="107">
        <f t="shared" si="1"/>
        <v>387912</v>
      </c>
      <c r="J17" s="109"/>
    </row>
    <row r="18" spans="1:10" x14ac:dyDescent="0.2">
      <c r="A18" s="37" t="s">
        <v>498</v>
      </c>
      <c r="B18" s="103" t="s">
        <v>120</v>
      </c>
      <c r="C18" s="103" t="s">
        <v>538</v>
      </c>
      <c r="D18" s="37" t="s">
        <v>186</v>
      </c>
      <c r="E18" s="37" t="s">
        <v>187</v>
      </c>
      <c r="F18" s="103">
        <v>314</v>
      </c>
      <c r="G18" s="107">
        <v>533273</v>
      </c>
      <c r="H18" s="128">
        <v>0</v>
      </c>
      <c r="I18" s="107">
        <f t="shared" si="1"/>
        <v>533273</v>
      </c>
      <c r="J18" s="109"/>
    </row>
    <row r="19" spans="1:10" x14ac:dyDescent="0.2">
      <c r="A19" s="37" t="s">
        <v>498</v>
      </c>
      <c r="B19" s="103" t="s">
        <v>131</v>
      </c>
      <c r="C19" s="103" t="s">
        <v>538</v>
      </c>
      <c r="D19" s="37" t="s">
        <v>186</v>
      </c>
      <c r="E19" s="37" t="s">
        <v>187</v>
      </c>
      <c r="F19" s="103">
        <v>314</v>
      </c>
      <c r="G19" s="107">
        <v>912918</v>
      </c>
      <c r="H19" s="128">
        <v>0</v>
      </c>
      <c r="I19" s="107">
        <f t="shared" si="1"/>
        <v>912918</v>
      </c>
      <c r="J19" s="109"/>
    </row>
    <row r="20" spans="1:10" x14ac:dyDescent="0.2">
      <c r="A20" s="37" t="s">
        <v>498</v>
      </c>
      <c r="B20" s="103" t="s">
        <v>136</v>
      </c>
      <c r="C20" s="103" t="s">
        <v>538</v>
      </c>
      <c r="D20" s="37" t="s">
        <v>186</v>
      </c>
      <c r="E20" s="37" t="s">
        <v>187</v>
      </c>
      <c r="F20" s="103">
        <v>314</v>
      </c>
      <c r="G20" s="107">
        <v>910934</v>
      </c>
      <c r="H20" s="128">
        <v>0</v>
      </c>
      <c r="I20" s="107">
        <f t="shared" si="1"/>
        <v>910934</v>
      </c>
      <c r="J20" s="109"/>
    </row>
    <row r="21" spans="1:10" x14ac:dyDescent="0.2">
      <c r="A21" s="37" t="s">
        <v>498</v>
      </c>
      <c r="B21" s="103" t="s">
        <v>137</v>
      </c>
      <c r="C21" s="103" t="s">
        <v>538</v>
      </c>
      <c r="D21" s="37" t="s">
        <v>186</v>
      </c>
      <c r="E21" s="37" t="s">
        <v>187</v>
      </c>
      <c r="F21" s="103">
        <v>314</v>
      </c>
      <c r="G21" s="107">
        <v>874691</v>
      </c>
      <c r="H21" s="128">
        <v>0</v>
      </c>
      <c r="I21" s="107">
        <f t="shared" si="0"/>
        <v>874691</v>
      </c>
      <c r="J21" s="109"/>
    </row>
    <row r="22" spans="1:10" x14ac:dyDescent="0.2">
      <c r="A22" s="37" t="s">
        <v>498</v>
      </c>
      <c r="B22" s="103" t="s">
        <v>138</v>
      </c>
      <c r="C22" s="103" t="s">
        <v>538</v>
      </c>
      <c r="D22" s="37" t="s">
        <v>186</v>
      </c>
      <c r="E22" s="37" t="s">
        <v>187</v>
      </c>
      <c r="F22" s="103">
        <v>314</v>
      </c>
      <c r="G22" s="107">
        <v>817164</v>
      </c>
      <c r="H22" s="128">
        <v>0</v>
      </c>
      <c r="I22" s="107">
        <f t="shared" si="0"/>
        <v>817164</v>
      </c>
      <c r="J22" s="109"/>
    </row>
    <row r="23" spans="1:10" x14ac:dyDescent="0.2">
      <c r="A23" s="37" t="s">
        <v>498</v>
      </c>
      <c r="B23" s="103" t="s">
        <v>139</v>
      </c>
      <c r="C23" s="103" t="s">
        <v>538</v>
      </c>
      <c r="D23" s="37" t="s">
        <v>186</v>
      </c>
      <c r="E23" s="37" t="s">
        <v>187</v>
      </c>
      <c r="F23" s="103">
        <v>314</v>
      </c>
      <c r="G23" s="107">
        <v>831167</v>
      </c>
      <c r="H23" s="128">
        <v>0</v>
      </c>
      <c r="I23" s="107">
        <f t="shared" si="0"/>
        <v>831167</v>
      </c>
      <c r="J23" s="109"/>
    </row>
    <row r="24" spans="1:10" x14ac:dyDescent="0.2">
      <c r="A24" s="37" t="s">
        <v>498</v>
      </c>
      <c r="B24" s="103" t="s">
        <v>140</v>
      </c>
      <c r="C24" s="103" t="s">
        <v>538</v>
      </c>
      <c r="D24" s="37" t="s">
        <v>186</v>
      </c>
      <c r="E24" s="37" t="s">
        <v>187</v>
      </c>
      <c r="F24" s="103">
        <v>314</v>
      </c>
      <c r="G24" s="107">
        <v>792501</v>
      </c>
      <c r="H24" s="128">
        <v>0</v>
      </c>
      <c r="I24" s="107">
        <f t="shared" si="0"/>
        <v>792501</v>
      </c>
      <c r="J24" s="109"/>
    </row>
    <row r="25" spans="1:10" x14ac:dyDescent="0.2">
      <c r="A25" s="37" t="s">
        <v>498</v>
      </c>
      <c r="B25" s="103" t="s">
        <v>425</v>
      </c>
      <c r="C25" s="103" t="s">
        <v>538</v>
      </c>
      <c r="D25" s="37" t="s">
        <v>45</v>
      </c>
      <c r="E25" s="37" t="s">
        <v>46</v>
      </c>
      <c r="F25" s="103">
        <v>264</v>
      </c>
      <c r="G25" s="107">
        <v>837000</v>
      </c>
      <c r="H25" s="128">
        <v>0</v>
      </c>
      <c r="I25" s="107">
        <f t="shared" si="0"/>
        <v>837000</v>
      </c>
      <c r="J25" s="109"/>
    </row>
    <row r="26" spans="1:10" x14ac:dyDescent="0.2">
      <c r="A26" s="37" t="s">
        <v>498</v>
      </c>
      <c r="B26" s="103" t="s">
        <v>425</v>
      </c>
      <c r="C26" s="103" t="s">
        <v>538</v>
      </c>
      <c r="D26" s="37" t="s">
        <v>188</v>
      </c>
      <c r="E26" s="37" t="s">
        <v>189</v>
      </c>
      <c r="F26" s="103">
        <v>373</v>
      </c>
      <c r="G26" s="107">
        <v>498701</v>
      </c>
      <c r="H26" s="128">
        <v>0</v>
      </c>
      <c r="I26" s="107">
        <f t="shared" ref="I26:I27" si="2">G26+H26</f>
        <v>498701</v>
      </c>
      <c r="J26" s="109"/>
    </row>
    <row r="27" spans="1:10" x14ac:dyDescent="0.2">
      <c r="A27" s="37" t="s">
        <v>498</v>
      </c>
      <c r="B27" s="103" t="s">
        <v>425</v>
      </c>
      <c r="C27" s="103" t="s">
        <v>538</v>
      </c>
      <c r="D27" s="37" t="s">
        <v>51</v>
      </c>
      <c r="E27" s="37" t="s">
        <v>52</v>
      </c>
      <c r="F27" s="103">
        <v>127</v>
      </c>
      <c r="G27" s="107">
        <v>542615</v>
      </c>
      <c r="H27" s="128">
        <v>0</v>
      </c>
      <c r="I27" s="107">
        <f t="shared" si="2"/>
        <v>542615</v>
      </c>
      <c r="J27" s="109"/>
    </row>
    <row r="28" spans="1:10" x14ac:dyDescent="0.2">
      <c r="A28" s="37" t="s">
        <v>498</v>
      </c>
      <c r="B28" s="103" t="s">
        <v>425</v>
      </c>
      <c r="C28" s="103" t="s">
        <v>538</v>
      </c>
      <c r="D28" s="37" t="s">
        <v>55</v>
      </c>
      <c r="E28" s="37" t="s">
        <v>56</v>
      </c>
      <c r="F28" s="103">
        <v>360</v>
      </c>
      <c r="G28" s="107">
        <v>566003</v>
      </c>
      <c r="H28" s="128">
        <v>0</v>
      </c>
      <c r="I28" s="107">
        <f t="shared" ref="I28:I31" si="3">G28+H28</f>
        <v>566003</v>
      </c>
      <c r="J28" s="109"/>
    </row>
    <row r="29" spans="1:10" x14ac:dyDescent="0.2">
      <c r="A29" s="37" t="s">
        <v>498</v>
      </c>
      <c r="B29" s="103" t="s">
        <v>425</v>
      </c>
      <c r="C29" s="103" t="s">
        <v>538</v>
      </c>
      <c r="D29" s="37" t="s">
        <v>53</v>
      </c>
      <c r="E29" s="37" t="s">
        <v>54</v>
      </c>
      <c r="F29" s="103">
        <v>175</v>
      </c>
      <c r="G29" s="107">
        <v>3932999</v>
      </c>
      <c r="H29" s="128">
        <v>0</v>
      </c>
      <c r="I29" s="107">
        <f t="shared" si="3"/>
        <v>3932999</v>
      </c>
      <c r="J29" s="109"/>
    </row>
    <row r="30" spans="1:10" x14ac:dyDescent="0.2">
      <c r="A30" s="37" t="s">
        <v>498</v>
      </c>
      <c r="B30" s="103" t="s">
        <v>425</v>
      </c>
      <c r="C30" s="103" t="s">
        <v>538</v>
      </c>
      <c r="D30" s="37" t="s">
        <v>59</v>
      </c>
      <c r="E30" s="37" t="s">
        <v>60</v>
      </c>
      <c r="F30" s="103">
        <v>345</v>
      </c>
      <c r="G30" s="107">
        <v>71900</v>
      </c>
      <c r="H30" s="128">
        <v>0</v>
      </c>
      <c r="I30" s="107">
        <f t="shared" si="3"/>
        <v>71900</v>
      </c>
      <c r="J30" s="109"/>
    </row>
    <row r="31" spans="1:10" x14ac:dyDescent="0.2">
      <c r="A31" s="37" t="s">
        <v>498</v>
      </c>
      <c r="B31" s="103" t="s">
        <v>425</v>
      </c>
      <c r="C31" s="103" t="s">
        <v>538</v>
      </c>
      <c r="D31" s="37" t="s">
        <v>61</v>
      </c>
      <c r="E31" s="37" t="s">
        <v>62</v>
      </c>
      <c r="F31" s="103">
        <v>372</v>
      </c>
      <c r="G31" s="107">
        <v>1386000</v>
      </c>
      <c r="H31" s="128">
        <v>0</v>
      </c>
      <c r="I31" s="107">
        <f t="shared" si="3"/>
        <v>1386000</v>
      </c>
      <c r="J31" s="109"/>
    </row>
    <row r="32" spans="1:10" x14ac:dyDescent="0.2">
      <c r="A32" s="37" t="s">
        <v>498</v>
      </c>
      <c r="B32" s="103" t="s">
        <v>425</v>
      </c>
      <c r="C32" s="103" t="s">
        <v>538</v>
      </c>
      <c r="D32" s="37" t="s">
        <v>23</v>
      </c>
      <c r="E32" s="37" t="s">
        <v>24</v>
      </c>
      <c r="F32" s="103">
        <v>90</v>
      </c>
      <c r="G32" s="107">
        <v>385998</v>
      </c>
      <c r="H32" s="128">
        <v>0</v>
      </c>
      <c r="I32" s="107">
        <f t="shared" si="0"/>
        <v>385998</v>
      </c>
      <c r="J32" s="109"/>
    </row>
    <row r="33" spans="1:10" x14ac:dyDescent="0.2">
      <c r="A33" s="37" t="s">
        <v>498</v>
      </c>
      <c r="B33" s="103" t="s">
        <v>425</v>
      </c>
      <c r="C33" s="103" t="s">
        <v>538</v>
      </c>
      <c r="D33" s="37" t="s">
        <v>431</v>
      </c>
      <c r="E33" s="37" t="s">
        <v>432</v>
      </c>
      <c r="F33" s="103">
        <v>377</v>
      </c>
      <c r="G33" s="107">
        <v>2816677</v>
      </c>
      <c r="H33" s="128">
        <v>0</v>
      </c>
      <c r="I33" s="107">
        <f t="shared" si="0"/>
        <v>2816677</v>
      </c>
      <c r="J33" s="109"/>
    </row>
    <row r="34" spans="1:10" x14ac:dyDescent="0.2">
      <c r="A34" s="37" t="s">
        <v>498</v>
      </c>
      <c r="B34" s="103" t="s">
        <v>18</v>
      </c>
      <c r="C34" s="103" t="s">
        <v>538</v>
      </c>
      <c r="D34" s="37" t="s">
        <v>431</v>
      </c>
      <c r="E34" s="37" t="s">
        <v>432</v>
      </c>
      <c r="F34" s="103">
        <v>377</v>
      </c>
      <c r="G34" s="107">
        <v>2856610</v>
      </c>
      <c r="H34" s="128">
        <v>0</v>
      </c>
      <c r="I34" s="107">
        <f t="shared" si="0"/>
        <v>2856610</v>
      </c>
      <c r="J34" s="110"/>
    </row>
    <row r="35" spans="1:10" x14ac:dyDescent="0.2">
      <c r="A35" s="37" t="s">
        <v>498</v>
      </c>
      <c r="B35" s="103" t="s">
        <v>63</v>
      </c>
      <c r="C35" s="103" t="s">
        <v>538</v>
      </c>
      <c r="D35" s="37" t="s">
        <v>431</v>
      </c>
      <c r="E35" s="37" t="s">
        <v>432</v>
      </c>
      <c r="F35" s="103">
        <v>377</v>
      </c>
      <c r="G35" s="107">
        <v>117713</v>
      </c>
      <c r="H35" s="128">
        <v>0</v>
      </c>
      <c r="I35" s="107">
        <f t="shared" si="0"/>
        <v>117713</v>
      </c>
      <c r="J35" s="109"/>
    </row>
    <row r="36" spans="1:10" s="113" customFormat="1" ht="15.75" customHeight="1" x14ac:dyDescent="0.2">
      <c r="A36" s="48" t="s">
        <v>555</v>
      </c>
      <c r="B36" s="111" t="s">
        <v>457</v>
      </c>
      <c r="C36" s="111" t="s">
        <v>457</v>
      </c>
      <c r="D36" s="111" t="s">
        <v>457</v>
      </c>
      <c r="E36" s="111" t="s">
        <v>457</v>
      </c>
      <c r="F36" s="111" t="s">
        <v>457</v>
      </c>
      <c r="G36" s="76">
        <f>SUBTOTAL(109,localannualclaim21[Program
Payments and Offsets])</f>
        <v>51388430</v>
      </c>
      <c r="H36" s="112">
        <f>SUBTOTAL(109,localannualclaim21[Interest
Payments and Offsets])</f>
        <v>0</v>
      </c>
      <c r="I36" s="76">
        <f>SUBTOTAL(109,localannualclaim21[Total
Payments])</f>
        <v>51388430</v>
      </c>
    </row>
    <row r="37" spans="1:10" s="113" customFormat="1" ht="15.75" customHeight="1" x14ac:dyDescent="0.2">
      <c r="A37" s="114" t="s">
        <v>463</v>
      </c>
      <c r="B37" s="115"/>
      <c r="C37" s="115"/>
      <c r="D37" s="95"/>
      <c r="E37" s="116"/>
      <c r="F37" s="115"/>
      <c r="G37" s="117"/>
      <c r="H37" s="118"/>
      <c r="I37" s="117"/>
    </row>
    <row r="38" spans="1:10" s="113" customFormat="1" ht="48" customHeight="1" x14ac:dyDescent="0.2">
      <c r="A38" s="88" t="s">
        <v>487</v>
      </c>
      <c r="B38" s="40" t="s">
        <v>488</v>
      </c>
      <c r="C38" s="40" t="s">
        <v>489</v>
      </c>
      <c r="D38" s="40" t="s">
        <v>490</v>
      </c>
      <c r="E38" s="40" t="s">
        <v>491</v>
      </c>
      <c r="F38" s="40" t="s">
        <v>454</v>
      </c>
      <c r="G38" s="40" t="s">
        <v>492</v>
      </c>
      <c r="H38" s="40" t="s">
        <v>493</v>
      </c>
      <c r="I38" s="40" t="s">
        <v>494</v>
      </c>
    </row>
    <row r="39" spans="1:10" s="113" customFormat="1" ht="15.75" customHeight="1" x14ac:dyDescent="0.2">
      <c r="A39" s="37" t="s">
        <v>499</v>
      </c>
      <c r="B39" s="103" t="s">
        <v>425</v>
      </c>
      <c r="C39" s="103" t="s">
        <v>549</v>
      </c>
      <c r="D39" s="37" t="s">
        <v>19</v>
      </c>
      <c r="E39" s="37" t="s">
        <v>20</v>
      </c>
      <c r="F39" s="103">
        <v>246</v>
      </c>
      <c r="G39" s="107">
        <v>1699076</v>
      </c>
      <c r="H39" s="120">
        <v>0</v>
      </c>
      <c r="I39" s="107">
        <f>SUM(G39:H39)</f>
        <v>1699076</v>
      </c>
    </row>
    <row r="40" spans="1:10" x14ac:dyDescent="0.2">
      <c r="A40" s="48" t="s">
        <v>452</v>
      </c>
      <c r="B40" s="111" t="s">
        <v>457</v>
      </c>
      <c r="C40" s="111" t="s">
        <v>457</v>
      </c>
      <c r="D40" s="111" t="s">
        <v>457</v>
      </c>
      <c r="E40" s="111" t="s">
        <v>457</v>
      </c>
      <c r="F40" s="111" t="s">
        <v>457</v>
      </c>
      <c r="G40" s="76">
        <f>SUBTOTAL(109,localmotor21[Program 
Payments and Offsets])</f>
        <v>1699076</v>
      </c>
      <c r="H40" s="121">
        <f>SUBTOTAL(109,localmotor21[Interest
Payments and Offsets])</f>
        <v>0</v>
      </c>
      <c r="I40" s="76">
        <f>SUBTOTAL(109,localmotor21[Total 
Payments])</f>
        <v>1699076</v>
      </c>
    </row>
    <row r="41" spans="1:10" s="113" customFormat="1" ht="15.75" customHeight="1" x14ac:dyDescent="0.2">
      <c r="A41" s="114" t="s">
        <v>463</v>
      </c>
      <c r="B41" s="115"/>
      <c r="C41" s="115"/>
      <c r="D41" s="95"/>
      <c r="E41" s="116"/>
      <c r="F41" s="115"/>
      <c r="G41" s="117"/>
      <c r="H41" s="118"/>
      <c r="I41" s="117"/>
    </row>
    <row r="42" spans="1:10" ht="45" x14ac:dyDescent="0.2">
      <c r="A42" s="88" t="s">
        <v>487</v>
      </c>
      <c r="B42" s="40" t="s">
        <v>488</v>
      </c>
      <c r="C42" s="40" t="s">
        <v>489</v>
      </c>
      <c r="D42" s="40" t="s">
        <v>490</v>
      </c>
      <c r="E42" s="40" t="s">
        <v>491</v>
      </c>
      <c r="F42" s="40" t="s">
        <v>454</v>
      </c>
      <c r="G42" s="40" t="s">
        <v>492</v>
      </c>
      <c r="H42" s="40" t="s">
        <v>493</v>
      </c>
      <c r="I42" s="40" t="s">
        <v>494</v>
      </c>
    </row>
    <row r="43" spans="1:10" x14ac:dyDescent="0.2">
      <c r="A43" s="37" t="s">
        <v>500</v>
      </c>
      <c r="B43" s="103" t="s">
        <v>425</v>
      </c>
      <c r="C43" s="103" t="s">
        <v>550</v>
      </c>
      <c r="D43" s="37" t="s">
        <v>49</v>
      </c>
      <c r="E43" s="37" t="s">
        <v>50</v>
      </c>
      <c r="F43" s="103">
        <v>121</v>
      </c>
      <c r="G43" s="107">
        <v>49000</v>
      </c>
      <c r="H43" s="120">
        <v>0</v>
      </c>
      <c r="I43" s="107">
        <f>G43+H43</f>
        <v>49000</v>
      </c>
    </row>
    <row r="44" spans="1:10" x14ac:dyDescent="0.2">
      <c r="A44" s="48" t="s">
        <v>451</v>
      </c>
      <c r="B44" s="111" t="s">
        <v>457</v>
      </c>
      <c r="C44" s="111" t="s">
        <v>457</v>
      </c>
      <c r="D44" s="111" t="s">
        <v>457</v>
      </c>
      <c r="E44" s="111" t="s">
        <v>457</v>
      </c>
      <c r="F44" s="111" t="s">
        <v>457</v>
      </c>
      <c r="G44" s="76">
        <f>SUBTOTAL(109,localpest21[Program 
Payments and Offsets])</f>
        <v>49000</v>
      </c>
      <c r="H44" s="121">
        <f>SUBTOTAL(109,localpest21[Interest
Payments and Offsets])</f>
        <v>0</v>
      </c>
      <c r="I44" s="76">
        <f>SUBTOTAL(109,localpest21[Total 
Payments])</f>
        <v>49000</v>
      </c>
    </row>
    <row r="45" spans="1:10" s="113" customFormat="1" ht="15.75" customHeight="1" x14ac:dyDescent="0.2">
      <c r="A45" s="114" t="s">
        <v>463</v>
      </c>
      <c r="B45" s="103"/>
      <c r="C45" s="103"/>
      <c r="D45" s="37"/>
      <c r="E45" s="103"/>
      <c r="F45" s="103"/>
      <c r="G45" s="122"/>
      <c r="H45" s="122"/>
      <c r="I45" s="122"/>
    </row>
    <row r="46" spans="1:10" s="113" customFormat="1" ht="48" customHeight="1" x14ac:dyDescent="0.2">
      <c r="A46" s="170" t="s">
        <v>487</v>
      </c>
      <c r="B46" s="40" t="s">
        <v>488</v>
      </c>
      <c r="C46" s="40" t="s">
        <v>489</v>
      </c>
      <c r="D46" s="40" t="s">
        <v>490</v>
      </c>
      <c r="E46" s="40" t="s">
        <v>491</v>
      </c>
      <c r="F46" s="40" t="s">
        <v>454</v>
      </c>
      <c r="G46" s="40" t="s">
        <v>492</v>
      </c>
      <c r="H46" s="40" t="s">
        <v>493</v>
      </c>
      <c r="I46" s="39" t="s">
        <v>494</v>
      </c>
    </row>
    <row r="47" spans="1:10" x14ac:dyDescent="0.2">
      <c r="A47" s="70" t="s">
        <v>498</v>
      </c>
      <c r="B47" s="287" t="s">
        <v>457</v>
      </c>
      <c r="C47" s="130" t="s">
        <v>538</v>
      </c>
      <c r="D47" s="287" t="s">
        <v>457</v>
      </c>
      <c r="E47" s="287" t="s">
        <v>457</v>
      </c>
      <c r="F47" s="287" t="s">
        <v>457</v>
      </c>
      <c r="G47" s="124">
        <f>localannualclaim21[[#Totals],[Program
Payments and Offsets]]</f>
        <v>51388430</v>
      </c>
      <c r="H47" s="125">
        <f>localannualclaim21[[#Totals],[Interest
Payments and Offsets]]</f>
        <v>0</v>
      </c>
      <c r="I47" s="124">
        <f>localannualclaim21[[#Totals],[Total
Payments]]</f>
        <v>51388430</v>
      </c>
    </row>
    <row r="48" spans="1:10" x14ac:dyDescent="0.2">
      <c r="A48" s="70" t="s">
        <v>499</v>
      </c>
      <c r="B48" s="287" t="s">
        <v>457</v>
      </c>
      <c r="C48" s="130" t="s">
        <v>549</v>
      </c>
      <c r="D48" s="287" t="s">
        <v>457</v>
      </c>
      <c r="E48" s="287" t="s">
        <v>457</v>
      </c>
      <c r="F48" s="287" t="s">
        <v>457</v>
      </c>
      <c r="G48" s="73">
        <f>localmotor21[[#Totals],[Program 
Payments and Offsets]]</f>
        <v>1699076</v>
      </c>
      <c r="H48" s="288">
        <f>localmotor21[[#Totals],[Interest
Payments and Offsets]]</f>
        <v>0</v>
      </c>
      <c r="I48" s="73">
        <f>localmotor21[[#Totals],[Total 
Payments]]</f>
        <v>1699076</v>
      </c>
    </row>
    <row r="49" spans="1:9" x14ac:dyDescent="0.2">
      <c r="A49" s="70" t="s">
        <v>500</v>
      </c>
      <c r="B49" s="287" t="s">
        <v>457</v>
      </c>
      <c r="C49" s="130" t="s">
        <v>550</v>
      </c>
      <c r="D49" s="287" t="s">
        <v>457</v>
      </c>
      <c r="E49" s="287" t="s">
        <v>457</v>
      </c>
      <c r="F49" s="287" t="s">
        <v>457</v>
      </c>
      <c r="G49" s="73">
        <f>localpest21[[#Totals],[Program 
Payments and Offsets]]</f>
        <v>49000</v>
      </c>
      <c r="H49" s="126">
        <f>localpest21[[#Totals],[Interest
Payments and Offsets]]</f>
        <v>0</v>
      </c>
      <c r="I49" s="73">
        <f>localpest21[[#Totals],[Total 
Payments]]</f>
        <v>49000</v>
      </c>
    </row>
    <row r="50" spans="1:9" x14ac:dyDescent="0.2">
      <c r="A50" s="52" t="s">
        <v>501</v>
      </c>
      <c r="B50" s="289" t="s">
        <v>457</v>
      </c>
      <c r="C50" s="289" t="s">
        <v>457</v>
      </c>
      <c r="D50" s="289" t="s">
        <v>457</v>
      </c>
      <c r="E50" s="289" t="s">
        <v>457</v>
      </c>
      <c r="F50" s="289" t="s">
        <v>457</v>
      </c>
      <c r="G50" s="51">
        <f>SUBTOTAL(109,localgrandtotala1[Program 
Payments and Offsets])</f>
        <v>53136506</v>
      </c>
      <c r="H50" s="290">
        <f>SUBTOTAL(109,localgrandtotala1[Interest
Payments and Offsets])</f>
        <v>0</v>
      </c>
      <c r="I50" s="51">
        <f>SUBTOTAL(109,localgrandtotala1[Total 
Payments])</f>
        <v>53136506</v>
      </c>
    </row>
    <row r="51" spans="1:9" x14ac:dyDescent="0.2">
      <c r="I51" s="127"/>
    </row>
    <row r="52" spans="1:9" x14ac:dyDescent="0.2">
      <c r="I52" s="127"/>
    </row>
    <row r="53" spans="1:9" x14ac:dyDescent="0.2">
      <c r="I53" s="127"/>
    </row>
    <row r="54" spans="1:9" x14ac:dyDescent="0.2">
      <c r="I54" s="127"/>
    </row>
    <row r="55" spans="1:9" x14ac:dyDescent="0.2">
      <c r="I55" s="127"/>
    </row>
    <row r="56" spans="1:9" x14ac:dyDescent="0.2">
      <c r="I56" s="127"/>
    </row>
    <row r="57" spans="1:9" x14ac:dyDescent="0.2">
      <c r="I57" s="127"/>
    </row>
    <row r="58" spans="1:9" x14ac:dyDescent="0.2">
      <c r="I58" s="127"/>
    </row>
    <row r="59" spans="1:9" x14ac:dyDescent="0.2">
      <c r="I59" s="127"/>
    </row>
    <row r="60" spans="1:9" x14ac:dyDescent="0.2">
      <c r="I60" s="127"/>
    </row>
    <row r="61" spans="1:9" x14ac:dyDescent="0.2">
      <c r="I61" s="127"/>
    </row>
    <row r="62" spans="1:9" x14ac:dyDescent="0.2">
      <c r="I62" s="127"/>
    </row>
    <row r="63" spans="1:9" x14ac:dyDescent="0.2">
      <c r="I63" s="127"/>
    </row>
    <row r="64" spans="1:9" x14ac:dyDescent="0.2">
      <c r="I64" s="127"/>
    </row>
    <row r="65" spans="9:9" x14ac:dyDescent="0.2">
      <c r="I65" s="127"/>
    </row>
    <row r="66" spans="9:9" x14ac:dyDescent="0.2">
      <c r="I66" s="127"/>
    </row>
    <row r="67" spans="9:9" x14ac:dyDescent="0.2">
      <c r="I67" s="127"/>
    </row>
    <row r="68" spans="9:9" x14ac:dyDescent="0.2">
      <c r="I68" s="127"/>
    </row>
    <row r="69" spans="9:9" x14ac:dyDescent="0.2">
      <c r="I69" s="127"/>
    </row>
    <row r="70" spans="9:9" x14ac:dyDescent="0.2">
      <c r="I70" s="127"/>
    </row>
    <row r="71" spans="9:9" x14ac:dyDescent="0.2">
      <c r="I71" s="127"/>
    </row>
    <row r="72" spans="9:9" x14ac:dyDescent="0.2">
      <c r="I72" s="127"/>
    </row>
    <row r="73" spans="9:9" x14ac:dyDescent="0.2">
      <c r="I73" s="127"/>
    </row>
    <row r="74" spans="9:9" x14ac:dyDescent="0.2">
      <c r="I74" s="127"/>
    </row>
    <row r="75" spans="9:9" x14ac:dyDescent="0.2">
      <c r="I75" s="127"/>
    </row>
    <row r="76" spans="9:9" x14ac:dyDescent="0.2">
      <c r="I76" s="127"/>
    </row>
    <row r="77" spans="9:9" x14ac:dyDescent="0.2">
      <c r="I77" s="127"/>
    </row>
    <row r="78" spans="9:9" x14ac:dyDescent="0.2">
      <c r="I78" s="127"/>
    </row>
    <row r="79" spans="9:9" x14ac:dyDescent="0.2">
      <c r="I79" s="127"/>
    </row>
    <row r="80" spans="9:9" x14ac:dyDescent="0.2">
      <c r="I80" s="127"/>
    </row>
    <row r="81" spans="9:9" x14ac:dyDescent="0.2">
      <c r="I81" s="127"/>
    </row>
    <row r="82" spans="9:9" x14ac:dyDescent="0.2">
      <c r="I82" s="127"/>
    </row>
    <row r="83" spans="9:9" x14ac:dyDescent="0.2">
      <c r="I83" s="127"/>
    </row>
    <row r="84" spans="9:9" x14ac:dyDescent="0.2">
      <c r="I84" s="127"/>
    </row>
    <row r="85" spans="9:9" x14ac:dyDescent="0.2">
      <c r="I85" s="127"/>
    </row>
    <row r="86" spans="9:9" x14ac:dyDescent="0.2">
      <c r="I86" s="127"/>
    </row>
    <row r="87" spans="9:9" x14ac:dyDescent="0.2">
      <c r="I87" s="127"/>
    </row>
    <row r="88" spans="9:9" x14ac:dyDescent="0.2">
      <c r="I88" s="127"/>
    </row>
    <row r="89" spans="9:9" x14ac:dyDescent="0.2">
      <c r="I89" s="127"/>
    </row>
    <row r="90" spans="9:9" x14ac:dyDescent="0.2">
      <c r="I90" s="127"/>
    </row>
    <row r="91" spans="9:9" x14ac:dyDescent="0.2">
      <c r="I91" s="127"/>
    </row>
    <row r="92" spans="9:9" x14ac:dyDescent="0.2">
      <c r="I92" s="127"/>
    </row>
    <row r="93" spans="9:9" x14ac:dyDescent="0.2">
      <c r="I93" s="127"/>
    </row>
    <row r="94" spans="9:9" x14ac:dyDescent="0.2">
      <c r="I94" s="127"/>
    </row>
    <row r="95" spans="9:9" x14ac:dyDescent="0.2">
      <c r="I95" s="127"/>
    </row>
    <row r="96" spans="9:9" x14ac:dyDescent="0.2">
      <c r="I96" s="127"/>
    </row>
    <row r="97" spans="9:9" x14ac:dyDescent="0.2">
      <c r="I97" s="127"/>
    </row>
    <row r="98" spans="9:9" x14ac:dyDescent="0.2">
      <c r="I98" s="127"/>
    </row>
    <row r="99" spans="9:9" x14ac:dyDescent="0.2">
      <c r="I99" s="127"/>
    </row>
    <row r="100" spans="9:9" x14ac:dyDescent="0.2">
      <c r="I100" s="127"/>
    </row>
    <row r="101" spans="9:9" x14ac:dyDescent="0.2">
      <c r="I101" s="127"/>
    </row>
    <row r="102" spans="9:9" x14ac:dyDescent="0.2">
      <c r="I102" s="127"/>
    </row>
    <row r="103" spans="9:9" x14ac:dyDescent="0.2">
      <c r="I103" s="127"/>
    </row>
    <row r="104" spans="9:9" x14ac:dyDescent="0.2">
      <c r="I104" s="127"/>
    </row>
    <row r="105" spans="9:9" x14ac:dyDescent="0.2">
      <c r="I105" s="127"/>
    </row>
    <row r="106" spans="9:9" x14ac:dyDescent="0.2">
      <c r="I106" s="127"/>
    </row>
    <row r="107" spans="9:9" x14ac:dyDescent="0.2">
      <c r="I107" s="127"/>
    </row>
    <row r="108" spans="9:9" x14ac:dyDescent="0.2">
      <c r="I108" s="127"/>
    </row>
    <row r="109" spans="9:9" x14ac:dyDescent="0.2">
      <c r="I109" s="127"/>
    </row>
    <row r="110" spans="9:9" x14ac:dyDescent="0.2">
      <c r="I110" s="127"/>
    </row>
    <row r="111" spans="9:9" x14ac:dyDescent="0.2">
      <c r="I111" s="127"/>
    </row>
    <row r="112" spans="9:9" x14ac:dyDescent="0.2">
      <c r="I112" s="127"/>
    </row>
    <row r="113" spans="9:9" x14ac:dyDescent="0.2">
      <c r="I113" s="127"/>
    </row>
    <row r="114" spans="9:9" x14ac:dyDescent="0.2">
      <c r="I114" s="127"/>
    </row>
    <row r="115" spans="9:9" x14ac:dyDescent="0.2">
      <c r="I115" s="127"/>
    </row>
    <row r="116" spans="9:9" x14ac:dyDescent="0.2">
      <c r="I116" s="127"/>
    </row>
    <row r="117" spans="9:9" x14ac:dyDescent="0.2">
      <c r="I117" s="127"/>
    </row>
    <row r="118" spans="9:9" x14ac:dyDescent="0.2">
      <c r="I118" s="127"/>
    </row>
    <row r="119" spans="9:9" x14ac:dyDescent="0.2">
      <c r="I119" s="127"/>
    </row>
    <row r="120" spans="9:9" x14ac:dyDescent="0.2">
      <c r="I120" s="127"/>
    </row>
    <row r="121" spans="9:9" x14ac:dyDescent="0.2">
      <c r="I121" s="127"/>
    </row>
    <row r="122" spans="9:9" x14ac:dyDescent="0.2">
      <c r="I122" s="127"/>
    </row>
    <row r="123" spans="9:9" x14ac:dyDescent="0.2">
      <c r="I123" s="127"/>
    </row>
    <row r="124" spans="9:9" x14ac:dyDescent="0.2">
      <c r="I124" s="127"/>
    </row>
    <row r="125" spans="9:9" x14ac:dyDescent="0.2">
      <c r="I125" s="127"/>
    </row>
    <row r="126" spans="9:9" x14ac:dyDescent="0.2">
      <c r="I126" s="127"/>
    </row>
    <row r="127" spans="9:9" x14ac:dyDescent="0.2">
      <c r="I127" s="127"/>
    </row>
    <row r="128" spans="9:9" x14ac:dyDescent="0.2">
      <c r="I128" s="127"/>
    </row>
    <row r="129" spans="9:9" x14ac:dyDescent="0.2">
      <c r="I129" s="127"/>
    </row>
    <row r="130" spans="9:9" x14ac:dyDescent="0.2">
      <c r="I130" s="127"/>
    </row>
    <row r="131" spans="9:9" x14ac:dyDescent="0.2">
      <c r="I131" s="127"/>
    </row>
    <row r="132" spans="9:9" x14ac:dyDescent="0.2">
      <c r="I132" s="127"/>
    </row>
    <row r="133" spans="9:9" x14ac:dyDescent="0.2">
      <c r="I133" s="127"/>
    </row>
    <row r="134" spans="9:9" x14ac:dyDescent="0.2">
      <c r="I134" s="127"/>
    </row>
    <row r="135" spans="9:9" x14ac:dyDescent="0.2">
      <c r="I135" s="127"/>
    </row>
    <row r="136" spans="9:9" x14ac:dyDescent="0.2">
      <c r="I136" s="127"/>
    </row>
    <row r="137" spans="9:9" x14ac:dyDescent="0.2">
      <c r="I137" s="127"/>
    </row>
    <row r="138" spans="9:9" x14ac:dyDescent="0.2">
      <c r="I138" s="127"/>
    </row>
    <row r="139" spans="9:9" x14ac:dyDescent="0.2">
      <c r="I139" s="127"/>
    </row>
    <row r="140" spans="9:9" x14ac:dyDescent="0.2">
      <c r="I140" s="127"/>
    </row>
    <row r="141" spans="9:9" x14ac:dyDescent="0.2">
      <c r="I141" s="127"/>
    </row>
    <row r="142" spans="9:9" x14ac:dyDescent="0.2">
      <c r="I142" s="127"/>
    </row>
    <row r="143" spans="9:9" x14ac:dyDescent="0.2">
      <c r="I143" s="127"/>
    </row>
    <row r="144" spans="9:9" x14ac:dyDescent="0.2">
      <c r="I144" s="127"/>
    </row>
    <row r="145" spans="9:9" x14ac:dyDescent="0.2">
      <c r="I145" s="127"/>
    </row>
    <row r="146" spans="9:9" x14ac:dyDescent="0.2">
      <c r="I146" s="127"/>
    </row>
    <row r="147" spans="9:9" x14ac:dyDescent="0.2">
      <c r="I147" s="127"/>
    </row>
    <row r="148" spans="9:9" x14ac:dyDescent="0.2">
      <c r="I148" s="127"/>
    </row>
    <row r="149" spans="9:9" x14ac:dyDescent="0.2">
      <c r="I149" s="127"/>
    </row>
    <row r="150" spans="9:9" x14ac:dyDescent="0.2">
      <c r="I150" s="127"/>
    </row>
  </sheetData>
  <printOptions horizontalCentered="1" gridLines="1"/>
  <pageMargins left="0.35" right="0.35" top="1" bottom="1" header="0.4" footer="0.1"/>
  <pageSetup scale="47" fitToHeight="0" orientation="landscape" r:id="rId1"/>
  <headerFooter>
    <oddFooter>&amp;LSchedule A1: Detail of State-Mandated Program Payments by Fiscal Year
Local Agencies
&amp;RPage &amp;P of &amp;N</oddFooter>
  </headerFooter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33"/>
  <sheetViews>
    <sheetView topLeftCell="D19" zoomScale="70" zoomScaleNormal="70" zoomScalePageLayoutView="80" workbookViewId="0">
      <selection activeCell="A28" sqref="A28:XFD30"/>
    </sheetView>
  </sheetViews>
  <sheetFormatPr defaultColWidth="9.140625" defaultRowHeight="15" x14ac:dyDescent="0.2"/>
  <cols>
    <col min="1" max="1" width="64.140625" style="37" customWidth="1"/>
    <col min="2" max="2" width="15.5703125" style="37" customWidth="1"/>
    <col min="3" max="3" width="30.28515625" style="37" bestFit="1" customWidth="1"/>
    <col min="4" max="4" width="115.7109375" style="37" bestFit="1" customWidth="1"/>
    <col min="5" max="5" width="20.28515625" style="119" bestFit="1" customWidth="1"/>
    <col min="6" max="6" width="16.85546875" style="37" bestFit="1" customWidth="1"/>
    <col min="7" max="7" width="20.5703125" style="37" bestFit="1" customWidth="1"/>
    <col min="8" max="8" width="20.5703125" style="153" bestFit="1" customWidth="1"/>
    <col min="9" max="9" width="20" style="37" bestFit="1" customWidth="1"/>
    <col min="10" max="10" width="40.7109375" style="37" customWidth="1"/>
    <col min="11" max="11" width="6" style="37" customWidth="1"/>
    <col min="12" max="13" width="15.42578125" style="37" customWidth="1"/>
    <col min="14" max="14" width="14.85546875" style="37" customWidth="1"/>
    <col min="15" max="15" width="15.5703125" style="37" customWidth="1"/>
    <col min="16" max="16" width="16" style="37" customWidth="1"/>
    <col min="17" max="17" width="16.140625" style="37" customWidth="1"/>
    <col min="18" max="18" width="11.5703125" style="37" bestFit="1" customWidth="1"/>
    <col min="19" max="16384" width="9.140625" style="37"/>
  </cols>
  <sheetData>
    <row r="1" spans="1:16" ht="54" customHeight="1" x14ac:dyDescent="0.2">
      <c r="A1" s="82" t="s">
        <v>556</v>
      </c>
      <c r="B1" s="83"/>
      <c r="C1" s="83"/>
      <c r="D1" s="83"/>
      <c r="E1" s="83"/>
      <c r="F1" s="83"/>
      <c r="G1" s="83"/>
      <c r="H1" s="136"/>
      <c r="I1" s="83"/>
    </row>
    <row r="2" spans="1:16" ht="48" customHeight="1" x14ac:dyDescent="0.2">
      <c r="A2" s="40" t="s">
        <v>487</v>
      </c>
      <c r="B2" s="40" t="s">
        <v>1</v>
      </c>
      <c r="C2" s="40" t="s">
        <v>450</v>
      </c>
      <c r="D2" s="40" t="s">
        <v>15</v>
      </c>
      <c r="E2" s="40" t="s">
        <v>491</v>
      </c>
      <c r="F2" s="40" t="s">
        <v>454</v>
      </c>
      <c r="G2" s="40" t="s">
        <v>496</v>
      </c>
      <c r="H2" s="40" t="s">
        <v>493</v>
      </c>
      <c r="I2" s="39" t="s">
        <v>453</v>
      </c>
      <c r="L2" s="137"/>
      <c r="N2" s="138"/>
      <c r="O2" s="138"/>
      <c r="P2" s="138"/>
    </row>
    <row r="3" spans="1:16" ht="15.75" customHeight="1" x14ac:dyDescent="0.2">
      <c r="A3" s="139" t="s">
        <v>495</v>
      </c>
      <c r="B3" s="154" t="s">
        <v>425</v>
      </c>
      <c r="C3" s="130" t="s">
        <v>551</v>
      </c>
      <c r="D3" s="100" t="s">
        <v>217</v>
      </c>
      <c r="E3" s="129" t="s">
        <v>218</v>
      </c>
      <c r="F3" s="130">
        <v>250</v>
      </c>
      <c r="G3" s="140">
        <v>1000</v>
      </c>
      <c r="H3" s="147">
        <v>0</v>
      </c>
      <c r="I3" s="140">
        <f t="shared" ref="I3:I25" si="0">G3+H3</f>
        <v>1000</v>
      </c>
      <c r="L3" s="137"/>
      <c r="N3" s="138"/>
      <c r="O3" s="138"/>
      <c r="P3" s="138"/>
    </row>
    <row r="4" spans="1:16" ht="15.75" customHeight="1" x14ac:dyDescent="0.2">
      <c r="A4" s="130" t="s">
        <v>495</v>
      </c>
      <c r="B4" s="154" t="s">
        <v>425</v>
      </c>
      <c r="C4" s="130" t="s">
        <v>551</v>
      </c>
      <c r="D4" s="100" t="s">
        <v>219</v>
      </c>
      <c r="E4" s="131" t="s">
        <v>220</v>
      </c>
      <c r="F4" s="130">
        <v>369</v>
      </c>
      <c r="G4" s="140">
        <v>1000</v>
      </c>
      <c r="H4" s="147">
        <v>0</v>
      </c>
      <c r="I4" s="140">
        <f t="shared" si="0"/>
        <v>1000</v>
      </c>
      <c r="L4" s="137"/>
      <c r="N4" s="138"/>
      <c r="O4" s="138"/>
      <c r="P4" s="138"/>
    </row>
    <row r="5" spans="1:16" ht="15.75" customHeight="1" x14ac:dyDescent="0.2">
      <c r="A5" s="130" t="s">
        <v>495</v>
      </c>
      <c r="B5" s="154" t="s">
        <v>425</v>
      </c>
      <c r="C5" s="130" t="s">
        <v>551</v>
      </c>
      <c r="D5" s="132" t="s">
        <v>221</v>
      </c>
      <c r="E5" s="129" t="s">
        <v>222</v>
      </c>
      <c r="F5" s="130">
        <v>172</v>
      </c>
      <c r="G5" s="140">
        <v>1000</v>
      </c>
      <c r="H5" s="147">
        <v>0</v>
      </c>
      <c r="I5" s="140">
        <f t="shared" si="0"/>
        <v>1000</v>
      </c>
      <c r="L5" s="137"/>
      <c r="N5" s="138"/>
      <c r="O5" s="138"/>
      <c r="P5" s="138"/>
    </row>
    <row r="6" spans="1:16" ht="15.75" customHeight="1" x14ac:dyDescent="0.2">
      <c r="A6" s="130" t="s">
        <v>495</v>
      </c>
      <c r="B6" s="154" t="s">
        <v>425</v>
      </c>
      <c r="C6" s="130" t="s">
        <v>551</v>
      </c>
      <c r="D6" s="100" t="s">
        <v>195</v>
      </c>
      <c r="E6" s="100" t="s">
        <v>196</v>
      </c>
      <c r="F6" s="130">
        <v>11</v>
      </c>
      <c r="G6" s="140">
        <v>1000</v>
      </c>
      <c r="H6" s="147">
        <v>0</v>
      </c>
      <c r="I6" s="140">
        <f t="shared" si="0"/>
        <v>1000</v>
      </c>
      <c r="L6" s="137"/>
      <c r="N6" s="138"/>
      <c r="O6" s="138"/>
      <c r="P6" s="138"/>
    </row>
    <row r="7" spans="1:16" ht="15.75" customHeight="1" x14ac:dyDescent="0.2">
      <c r="A7" s="130" t="s">
        <v>495</v>
      </c>
      <c r="B7" s="154" t="s">
        <v>425</v>
      </c>
      <c r="C7" s="130" t="s">
        <v>551</v>
      </c>
      <c r="D7" s="133" t="s">
        <v>223</v>
      </c>
      <c r="E7" s="131" t="s">
        <v>224</v>
      </c>
      <c r="F7" s="130">
        <v>313</v>
      </c>
      <c r="G7" s="140">
        <v>1000</v>
      </c>
      <c r="H7" s="147">
        <v>0</v>
      </c>
      <c r="I7" s="140">
        <f t="shared" si="0"/>
        <v>1000</v>
      </c>
      <c r="L7" s="137"/>
      <c r="N7" s="138"/>
      <c r="O7" s="138"/>
      <c r="P7" s="138"/>
    </row>
    <row r="8" spans="1:16" ht="30.75" customHeight="1" x14ac:dyDescent="0.2">
      <c r="A8" s="141" t="s">
        <v>495</v>
      </c>
      <c r="B8" s="154" t="s">
        <v>425</v>
      </c>
      <c r="C8" s="130" t="s">
        <v>551</v>
      </c>
      <c r="D8" s="134" t="s">
        <v>227</v>
      </c>
      <c r="E8" s="129" t="s">
        <v>228</v>
      </c>
      <c r="F8" s="130">
        <v>272</v>
      </c>
      <c r="G8" s="140">
        <v>1000</v>
      </c>
      <c r="H8" s="147">
        <v>0</v>
      </c>
      <c r="I8" s="142">
        <f>G8+H8</f>
        <v>1000</v>
      </c>
      <c r="L8" s="137"/>
      <c r="N8" s="138"/>
      <c r="O8" s="138"/>
      <c r="P8" s="138"/>
    </row>
    <row r="9" spans="1:16" ht="30.75" customHeight="1" x14ac:dyDescent="0.2">
      <c r="A9" s="141" t="s">
        <v>495</v>
      </c>
      <c r="B9" s="154" t="s">
        <v>425</v>
      </c>
      <c r="C9" s="130" t="s">
        <v>551</v>
      </c>
      <c r="D9" s="132" t="s">
        <v>231</v>
      </c>
      <c r="E9" s="129" t="s">
        <v>232</v>
      </c>
      <c r="F9" s="130">
        <v>292</v>
      </c>
      <c r="G9" s="155">
        <v>1000</v>
      </c>
      <c r="H9" s="147">
        <v>0</v>
      </c>
      <c r="I9" s="142">
        <f>G9+H9</f>
        <v>1000</v>
      </c>
      <c r="L9" s="137"/>
      <c r="N9" s="138"/>
      <c r="O9" s="138"/>
      <c r="P9" s="138"/>
    </row>
    <row r="10" spans="1:16" ht="15.75" customHeight="1" x14ac:dyDescent="0.2">
      <c r="A10" s="130" t="s">
        <v>495</v>
      </c>
      <c r="B10" s="154" t="s">
        <v>425</v>
      </c>
      <c r="C10" s="130" t="s">
        <v>551</v>
      </c>
      <c r="D10" s="132" t="s">
        <v>233</v>
      </c>
      <c r="E10" s="129" t="s">
        <v>234</v>
      </c>
      <c r="F10" s="130">
        <v>209</v>
      </c>
      <c r="G10" s="140">
        <v>1000</v>
      </c>
      <c r="H10" s="147">
        <v>0</v>
      </c>
      <c r="I10" s="140">
        <f t="shared" si="0"/>
        <v>1000</v>
      </c>
      <c r="L10" s="137"/>
      <c r="N10" s="138"/>
      <c r="O10" s="138"/>
      <c r="P10" s="138"/>
    </row>
    <row r="11" spans="1:16" ht="15" customHeight="1" x14ac:dyDescent="0.2">
      <c r="A11" s="130" t="s">
        <v>495</v>
      </c>
      <c r="B11" s="154" t="s">
        <v>425</v>
      </c>
      <c r="C11" s="130" t="s">
        <v>551</v>
      </c>
      <c r="D11" s="100" t="s">
        <v>235</v>
      </c>
      <c r="E11" s="129" t="s">
        <v>236</v>
      </c>
      <c r="F11" s="130">
        <v>183</v>
      </c>
      <c r="G11" s="140">
        <v>1000</v>
      </c>
      <c r="H11" s="147">
        <v>0</v>
      </c>
      <c r="I11" s="140">
        <f t="shared" si="0"/>
        <v>1000</v>
      </c>
      <c r="L11" s="137"/>
      <c r="N11" s="138"/>
      <c r="O11" s="138"/>
      <c r="P11" s="138"/>
    </row>
    <row r="12" spans="1:16" ht="15.75" customHeight="1" x14ac:dyDescent="0.2">
      <c r="A12" s="130" t="s">
        <v>495</v>
      </c>
      <c r="B12" s="154" t="s">
        <v>425</v>
      </c>
      <c r="C12" s="130" t="s">
        <v>551</v>
      </c>
      <c r="D12" s="132" t="s">
        <v>237</v>
      </c>
      <c r="E12" s="100" t="s">
        <v>208</v>
      </c>
      <c r="F12" s="130">
        <v>192</v>
      </c>
      <c r="G12" s="140">
        <v>1000</v>
      </c>
      <c r="H12" s="147">
        <v>0</v>
      </c>
      <c r="I12" s="140">
        <f t="shared" si="0"/>
        <v>1000</v>
      </c>
      <c r="L12" s="137"/>
      <c r="N12" s="138"/>
      <c r="O12" s="138"/>
      <c r="P12" s="138"/>
    </row>
    <row r="13" spans="1:16" ht="15.75" customHeight="1" x14ac:dyDescent="0.2">
      <c r="A13" s="130" t="s">
        <v>495</v>
      </c>
      <c r="B13" s="154" t="s">
        <v>425</v>
      </c>
      <c r="C13" s="130" t="s">
        <v>551</v>
      </c>
      <c r="D13" s="100" t="s">
        <v>238</v>
      </c>
      <c r="E13" s="129" t="s">
        <v>239</v>
      </c>
      <c r="F13" s="130">
        <v>297</v>
      </c>
      <c r="G13" s="140">
        <v>1000</v>
      </c>
      <c r="H13" s="147">
        <v>0</v>
      </c>
      <c r="I13" s="140">
        <f t="shared" si="0"/>
        <v>1000</v>
      </c>
      <c r="L13" s="137"/>
      <c r="N13" s="138"/>
      <c r="O13" s="138"/>
      <c r="P13" s="138"/>
    </row>
    <row r="14" spans="1:16" ht="15.75" customHeight="1" x14ac:dyDescent="0.2">
      <c r="A14" s="130" t="s">
        <v>495</v>
      </c>
      <c r="B14" s="154" t="s">
        <v>425</v>
      </c>
      <c r="C14" s="130" t="s">
        <v>551</v>
      </c>
      <c r="D14" s="132" t="s">
        <v>240</v>
      </c>
      <c r="E14" s="135" t="s">
        <v>241</v>
      </c>
      <c r="F14" s="130">
        <v>166</v>
      </c>
      <c r="G14" s="142">
        <v>1000</v>
      </c>
      <c r="H14" s="147">
        <v>0</v>
      </c>
      <c r="I14" s="140">
        <f t="shared" si="0"/>
        <v>1000</v>
      </c>
      <c r="L14" s="137"/>
      <c r="N14" s="138"/>
      <c r="O14" s="138"/>
      <c r="P14" s="138"/>
    </row>
    <row r="15" spans="1:16" ht="15.75" customHeight="1" x14ac:dyDescent="0.2">
      <c r="A15" s="130" t="s">
        <v>495</v>
      </c>
      <c r="B15" s="154" t="s">
        <v>425</v>
      </c>
      <c r="C15" s="130" t="s">
        <v>551</v>
      </c>
      <c r="D15" s="100" t="s">
        <v>242</v>
      </c>
      <c r="E15" s="129" t="s">
        <v>243</v>
      </c>
      <c r="F15" s="130">
        <v>32</v>
      </c>
      <c r="G15" s="140">
        <v>1000</v>
      </c>
      <c r="H15" s="147">
        <v>0</v>
      </c>
      <c r="I15" s="140">
        <f t="shared" si="0"/>
        <v>1000</v>
      </c>
      <c r="L15" s="137"/>
      <c r="N15" s="138"/>
      <c r="O15" s="138"/>
      <c r="P15" s="138"/>
    </row>
    <row r="16" spans="1:16" ht="15.75" customHeight="1" x14ac:dyDescent="0.2">
      <c r="A16" s="130" t="s">
        <v>495</v>
      </c>
      <c r="B16" s="154" t="s">
        <v>425</v>
      </c>
      <c r="C16" s="130" t="s">
        <v>551</v>
      </c>
      <c r="D16" s="100" t="s">
        <v>244</v>
      </c>
      <c r="E16" s="129" t="s">
        <v>245</v>
      </c>
      <c r="F16" s="130">
        <v>368</v>
      </c>
      <c r="G16" s="142">
        <v>1000</v>
      </c>
      <c r="H16" s="147">
        <v>0</v>
      </c>
      <c r="I16" s="140">
        <f t="shared" si="0"/>
        <v>1000</v>
      </c>
      <c r="L16" s="137"/>
      <c r="N16" s="138"/>
      <c r="O16" s="138"/>
      <c r="P16" s="138"/>
    </row>
    <row r="17" spans="1:16" ht="15.75" customHeight="1" x14ac:dyDescent="0.2">
      <c r="A17" s="130" t="s">
        <v>495</v>
      </c>
      <c r="B17" s="154" t="s">
        <v>425</v>
      </c>
      <c r="C17" s="130" t="s">
        <v>551</v>
      </c>
      <c r="D17" s="100" t="s">
        <v>246</v>
      </c>
      <c r="E17" s="129" t="s">
        <v>247</v>
      </c>
      <c r="F17" s="130">
        <v>357</v>
      </c>
      <c r="G17" s="140">
        <v>1000</v>
      </c>
      <c r="H17" s="147">
        <v>0</v>
      </c>
      <c r="I17" s="140">
        <f t="shared" si="0"/>
        <v>1000</v>
      </c>
      <c r="L17" s="137"/>
      <c r="N17" s="138"/>
      <c r="O17" s="138"/>
      <c r="P17" s="138"/>
    </row>
    <row r="18" spans="1:16" ht="15" customHeight="1" x14ac:dyDescent="0.2">
      <c r="A18" s="130" t="s">
        <v>495</v>
      </c>
      <c r="B18" s="154" t="s">
        <v>425</v>
      </c>
      <c r="C18" s="130" t="s">
        <v>551</v>
      </c>
      <c r="D18" s="100" t="s">
        <v>248</v>
      </c>
      <c r="E18" s="129" t="s">
        <v>249</v>
      </c>
      <c r="F18" s="130">
        <v>153</v>
      </c>
      <c r="G18" s="140">
        <v>1000</v>
      </c>
      <c r="H18" s="147">
        <v>0</v>
      </c>
      <c r="I18" s="140">
        <f t="shared" si="0"/>
        <v>1000</v>
      </c>
      <c r="L18" s="137"/>
      <c r="N18" s="138"/>
      <c r="O18" s="138"/>
      <c r="P18" s="138"/>
    </row>
    <row r="19" spans="1:16" ht="15.75" customHeight="1" x14ac:dyDescent="0.2">
      <c r="A19" s="130" t="s">
        <v>495</v>
      </c>
      <c r="B19" s="154" t="s">
        <v>425</v>
      </c>
      <c r="C19" s="130" t="s">
        <v>551</v>
      </c>
      <c r="D19" s="100" t="s">
        <v>250</v>
      </c>
      <c r="E19" s="129" t="s">
        <v>239</v>
      </c>
      <c r="F19" s="130">
        <v>48</v>
      </c>
      <c r="G19" s="140">
        <v>1000</v>
      </c>
      <c r="H19" s="147">
        <v>0</v>
      </c>
      <c r="I19" s="140">
        <f t="shared" si="0"/>
        <v>1000</v>
      </c>
      <c r="L19" s="137"/>
      <c r="N19" s="138"/>
      <c r="O19" s="138"/>
      <c r="P19" s="138"/>
    </row>
    <row r="20" spans="1:16" ht="15.75" customHeight="1" x14ac:dyDescent="0.2">
      <c r="A20" s="130" t="s">
        <v>495</v>
      </c>
      <c r="B20" s="154" t="s">
        <v>425</v>
      </c>
      <c r="C20" s="130" t="s">
        <v>551</v>
      </c>
      <c r="D20" s="100" t="s">
        <v>372</v>
      </c>
      <c r="E20" s="129" t="s">
        <v>373</v>
      </c>
      <c r="F20" s="130">
        <v>374</v>
      </c>
      <c r="G20" s="140">
        <v>1000</v>
      </c>
      <c r="H20" s="147">
        <v>0</v>
      </c>
      <c r="I20" s="140">
        <f t="shared" si="0"/>
        <v>1000</v>
      </c>
      <c r="L20" s="137"/>
      <c r="N20" s="138"/>
      <c r="O20" s="138"/>
      <c r="P20" s="138"/>
    </row>
    <row r="21" spans="1:16" ht="15.75" customHeight="1" x14ac:dyDescent="0.2">
      <c r="A21" s="130" t="s">
        <v>495</v>
      </c>
      <c r="B21" s="154" t="s">
        <v>425</v>
      </c>
      <c r="C21" s="130" t="s">
        <v>551</v>
      </c>
      <c r="D21" s="100" t="s">
        <v>253</v>
      </c>
      <c r="E21" s="129" t="s">
        <v>254</v>
      </c>
      <c r="F21" s="130">
        <v>171</v>
      </c>
      <c r="G21" s="140">
        <v>1000</v>
      </c>
      <c r="H21" s="147">
        <v>0</v>
      </c>
      <c r="I21" s="140">
        <f t="shared" si="0"/>
        <v>1000</v>
      </c>
      <c r="L21" s="137"/>
      <c r="N21" s="138"/>
      <c r="O21" s="138"/>
      <c r="P21" s="138"/>
    </row>
    <row r="22" spans="1:16" ht="15.75" customHeight="1" x14ac:dyDescent="0.2">
      <c r="A22" s="130" t="s">
        <v>495</v>
      </c>
      <c r="B22" s="154" t="s">
        <v>425</v>
      </c>
      <c r="C22" s="130" t="s">
        <v>551</v>
      </c>
      <c r="D22" s="132" t="s">
        <v>255</v>
      </c>
      <c r="E22" s="129" t="s">
        <v>256</v>
      </c>
      <c r="F22" s="130">
        <v>258</v>
      </c>
      <c r="G22" s="142">
        <v>1000</v>
      </c>
      <c r="H22" s="147">
        <v>0</v>
      </c>
      <c r="I22" s="140">
        <f t="shared" si="0"/>
        <v>1000</v>
      </c>
      <c r="L22" s="137"/>
      <c r="N22" s="138"/>
      <c r="O22" s="138"/>
      <c r="P22" s="138"/>
    </row>
    <row r="23" spans="1:16" ht="15.75" customHeight="1" x14ac:dyDescent="0.2">
      <c r="A23" s="130" t="s">
        <v>495</v>
      </c>
      <c r="B23" s="154" t="s">
        <v>425</v>
      </c>
      <c r="C23" s="130" t="s">
        <v>551</v>
      </c>
      <c r="D23" s="100" t="s">
        <v>257</v>
      </c>
      <c r="E23" s="129" t="s">
        <v>239</v>
      </c>
      <c r="F23" s="130">
        <v>260</v>
      </c>
      <c r="G23" s="140">
        <v>1000</v>
      </c>
      <c r="H23" s="147">
        <v>0</v>
      </c>
      <c r="I23" s="140">
        <f t="shared" si="0"/>
        <v>1000</v>
      </c>
      <c r="L23" s="137"/>
      <c r="N23" s="138"/>
      <c r="O23" s="138"/>
      <c r="P23" s="138"/>
    </row>
    <row r="24" spans="1:16" ht="15.75" customHeight="1" x14ac:dyDescent="0.2">
      <c r="A24" s="130" t="s">
        <v>495</v>
      </c>
      <c r="B24" s="154" t="s">
        <v>425</v>
      </c>
      <c r="C24" s="130" t="s">
        <v>551</v>
      </c>
      <c r="D24" s="100" t="s">
        <v>258</v>
      </c>
      <c r="E24" s="129" t="s">
        <v>259</v>
      </c>
      <c r="F24" s="130">
        <v>367</v>
      </c>
      <c r="G24" s="140">
        <v>1000</v>
      </c>
      <c r="H24" s="147">
        <v>0</v>
      </c>
      <c r="I24" s="140">
        <f t="shared" si="0"/>
        <v>1000</v>
      </c>
      <c r="L24" s="137"/>
      <c r="N24" s="138"/>
      <c r="O24" s="138"/>
      <c r="P24" s="138"/>
    </row>
    <row r="25" spans="1:16" ht="15.75" customHeight="1" x14ac:dyDescent="0.2">
      <c r="A25" s="130" t="s">
        <v>495</v>
      </c>
      <c r="B25" s="154" t="s">
        <v>425</v>
      </c>
      <c r="C25" s="130" t="s">
        <v>551</v>
      </c>
      <c r="D25" s="132" t="s">
        <v>260</v>
      </c>
      <c r="E25" s="131" t="s">
        <v>261</v>
      </c>
      <c r="F25" s="130">
        <v>351</v>
      </c>
      <c r="G25" s="142">
        <v>1000</v>
      </c>
      <c r="H25" s="147">
        <v>0</v>
      </c>
      <c r="I25" s="140">
        <f t="shared" si="0"/>
        <v>1000</v>
      </c>
      <c r="L25" s="137"/>
      <c r="N25" s="138"/>
      <c r="O25" s="138"/>
      <c r="P25" s="138"/>
    </row>
    <row r="26" spans="1:16" x14ac:dyDescent="0.2">
      <c r="A26" s="143" t="s">
        <v>422</v>
      </c>
      <c r="B26" s="75" t="s">
        <v>457</v>
      </c>
      <c r="C26" s="111" t="s">
        <v>457</v>
      </c>
      <c r="D26" s="75" t="s">
        <v>457</v>
      </c>
      <c r="E26" s="75" t="s">
        <v>457</v>
      </c>
      <c r="F26" s="111" t="s">
        <v>457</v>
      </c>
      <c r="G26" s="76">
        <f>SUBTOTAL(109,schoolannualclaim[Program
Payments and Offsets])</f>
        <v>23000</v>
      </c>
      <c r="H26" s="144">
        <f>SUBTOTAL(109,schoolannualclaim[Interest
Payments and Offsets])</f>
        <v>0</v>
      </c>
      <c r="I26" s="76">
        <f>SUBTOTAL(109,schoolannualclaim[Total
Payments])</f>
        <v>23000</v>
      </c>
      <c r="L26" s="137"/>
      <c r="N26" s="138"/>
      <c r="O26" s="138"/>
      <c r="P26" s="138"/>
    </row>
    <row r="27" spans="1:16" ht="15.75" customHeight="1" x14ac:dyDescent="0.2">
      <c r="A27" s="145" t="s">
        <v>463</v>
      </c>
      <c r="C27" s="103"/>
      <c r="E27" s="37"/>
      <c r="F27" s="103"/>
      <c r="H27" s="37"/>
    </row>
    <row r="28" spans="1:16" ht="45" x14ac:dyDescent="0.2">
      <c r="A28" s="40" t="s">
        <v>487</v>
      </c>
      <c r="B28" s="40" t="s">
        <v>488</v>
      </c>
      <c r="C28" s="40" t="s">
        <v>489</v>
      </c>
      <c r="D28" s="40" t="s">
        <v>490</v>
      </c>
      <c r="E28" s="40" t="s">
        <v>491</v>
      </c>
      <c r="F28" s="40" t="s">
        <v>454</v>
      </c>
      <c r="G28" s="40" t="s">
        <v>492</v>
      </c>
      <c r="H28" s="40" t="s">
        <v>493</v>
      </c>
      <c r="I28" s="40" t="s">
        <v>494</v>
      </c>
    </row>
    <row r="29" spans="1:16" x14ac:dyDescent="0.2">
      <c r="A29" s="103" t="s">
        <v>6</v>
      </c>
      <c r="B29" s="123" t="s">
        <v>457</v>
      </c>
      <c r="C29" s="123" t="s">
        <v>457</v>
      </c>
      <c r="D29" s="146" t="s">
        <v>457</v>
      </c>
      <c r="E29" s="146" t="s">
        <v>457</v>
      </c>
      <c r="F29" s="123" t="s">
        <v>457</v>
      </c>
      <c r="G29" s="73">
        <f>localgrandtotala1[[#Totals],[Program 
Payments and Offsets]]</f>
        <v>53136506</v>
      </c>
      <c r="H29" s="147">
        <f>localgrandtotala1[[#Totals],[Interest
Payments and Offsets]]</f>
        <v>0</v>
      </c>
      <c r="I29" s="73">
        <f>localgrandtotala1[[#Totals],[Total 
Payments]]</f>
        <v>53136506</v>
      </c>
      <c r="L29" s="137"/>
      <c r="N29" s="138"/>
      <c r="O29" s="138"/>
      <c r="P29" s="138"/>
    </row>
    <row r="30" spans="1:16" x14ac:dyDescent="0.2">
      <c r="A30" s="103" t="s">
        <v>497</v>
      </c>
      <c r="B30" s="123" t="s">
        <v>457</v>
      </c>
      <c r="C30" s="123" t="s">
        <v>457</v>
      </c>
      <c r="D30" s="146" t="s">
        <v>457</v>
      </c>
      <c r="E30" s="146" t="s">
        <v>457</v>
      </c>
      <c r="F30" s="123" t="s">
        <v>457</v>
      </c>
      <c r="G30" s="142">
        <f>schoolannualclaim[[#Totals],[Program
Payments and Offsets]]</f>
        <v>23000</v>
      </c>
      <c r="H30" s="147">
        <f>schoolannualclaim[[#Totals],[Interest
Payments and Offsets]]</f>
        <v>0</v>
      </c>
      <c r="I30" s="148">
        <f>schoolannualclaim[[#Totals],[Total
Payments]]</f>
        <v>23000</v>
      </c>
    </row>
    <row r="31" spans="1:16" ht="18" x14ac:dyDescent="0.2">
      <c r="A31" s="149" t="s">
        <v>557</v>
      </c>
      <c r="B31" s="150" t="s">
        <v>562</v>
      </c>
      <c r="C31" s="111" t="s">
        <v>457</v>
      </c>
      <c r="D31" s="111" t="s">
        <v>457</v>
      </c>
      <c r="E31" s="111" t="s">
        <v>457</v>
      </c>
      <c r="F31" s="111" t="s">
        <v>457</v>
      </c>
      <c r="G31" s="76">
        <f>SUBTOTAL(109,schoolgrandtotala1[Program 
Payments and Offsets])</f>
        <v>53159506</v>
      </c>
      <c r="H31" s="144">
        <f>SUBTOTAL(109,schoolgrandtotala1[Interest
Payments and Offsets])</f>
        <v>0</v>
      </c>
      <c r="I31" s="76">
        <f>SUBTOTAL(109,schoolgrandtotala1[Total 
Payments])</f>
        <v>53159506</v>
      </c>
    </row>
    <row r="32" spans="1:16" ht="15" customHeight="1" x14ac:dyDescent="0.2">
      <c r="A32" s="151" t="s">
        <v>560</v>
      </c>
      <c r="B32" s="123"/>
      <c r="C32" s="123"/>
      <c r="D32" s="146"/>
      <c r="E32" s="146"/>
      <c r="F32" s="123"/>
      <c r="G32" s="142"/>
      <c r="H32" s="147"/>
      <c r="I32" s="148"/>
    </row>
    <row r="33" spans="1:9" ht="18" customHeight="1" x14ac:dyDescent="0.2">
      <c r="A33" s="152" t="s">
        <v>561</v>
      </c>
      <c r="B33" s="123"/>
      <c r="C33" s="123"/>
      <c r="D33" s="146"/>
      <c r="E33" s="146"/>
      <c r="F33" s="123"/>
      <c r="G33" s="142"/>
      <c r="H33" s="147"/>
      <c r="I33" s="148"/>
    </row>
    <row r="34" spans="1:9" x14ac:dyDescent="0.2">
      <c r="I34" s="127"/>
    </row>
    <row r="35" spans="1:9" x14ac:dyDescent="0.2">
      <c r="I35" s="127"/>
    </row>
    <row r="36" spans="1:9" x14ac:dyDescent="0.2">
      <c r="I36" s="127"/>
    </row>
    <row r="37" spans="1:9" x14ac:dyDescent="0.2">
      <c r="I37" s="127"/>
    </row>
    <row r="38" spans="1:9" x14ac:dyDescent="0.2">
      <c r="I38" s="127"/>
    </row>
    <row r="39" spans="1:9" x14ac:dyDescent="0.2">
      <c r="I39" s="127"/>
    </row>
    <row r="40" spans="1:9" x14ac:dyDescent="0.2">
      <c r="I40" s="127"/>
    </row>
    <row r="41" spans="1:9" x14ac:dyDescent="0.2">
      <c r="I41" s="127"/>
    </row>
    <row r="42" spans="1:9" x14ac:dyDescent="0.2">
      <c r="I42" s="127"/>
    </row>
    <row r="43" spans="1:9" x14ac:dyDescent="0.2">
      <c r="I43" s="127"/>
    </row>
    <row r="44" spans="1:9" x14ac:dyDescent="0.2">
      <c r="I44" s="127"/>
    </row>
    <row r="45" spans="1:9" x14ac:dyDescent="0.2">
      <c r="I45" s="127"/>
    </row>
    <row r="46" spans="1:9" x14ac:dyDescent="0.2">
      <c r="I46" s="127"/>
    </row>
    <row r="47" spans="1:9" x14ac:dyDescent="0.2">
      <c r="I47" s="127"/>
    </row>
    <row r="48" spans="1:9" x14ac:dyDescent="0.2">
      <c r="I48" s="127"/>
    </row>
    <row r="49" spans="9:9" x14ac:dyDescent="0.2">
      <c r="I49" s="127"/>
    </row>
    <row r="50" spans="9:9" x14ac:dyDescent="0.2">
      <c r="I50" s="127"/>
    </row>
    <row r="51" spans="9:9" x14ac:dyDescent="0.2">
      <c r="I51" s="127"/>
    </row>
    <row r="52" spans="9:9" x14ac:dyDescent="0.2">
      <c r="I52" s="127"/>
    </row>
    <row r="53" spans="9:9" x14ac:dyDescent="0.2">
      <c r="I53" s="127"/>
    </row>
    <row r="54" spans="9:9" x14ac:dyDescent="0.2">
      <c r="I54" s="127"/>
    </row>
    <row r="55" spans="9:9" x14ac:dyDescent="0.2">
      <c r="I55" s="127"/>
    </row>
    <row r="56" spans="9:9" x14ac:dyDescent="0.2">
      <c r="I56" s="127"/>
    </row>
    <row r="57" spans="9:9" x14ac:dyDescent="0.2">
      <c r="I57" s="127"/>
    </row>
    <row r="58" spans="9:9" x14ac:dyDescent="0.2">
      <c r="I58" s="127"/>
    </row>
    <row r="59" spans="9:9" x14ac:dyDescent="0.2">
      <c r="I59" s="127"/>
    </row>
    <row r="60" spans="9:9" x14ac:dyDescent="0.2">
      <c r="I60" s="127"/>
    </row>
    <row r="61" spans="9:9" x14ac:dyDescent="0.2">
      <c r="I61" s="127"/>
    </row>
    <row r="62" spans="9:9" x14ac:dyDescent="0.2">
      <c r="I62" s="127"/>
    </row>
    <row r="63" spans="9:9" x14ac:dyDescent="0.2">
      <c r="I63" s="127"/>
    </row>
    <row r="64" spans="9:9" x14ac:dyDescent="0.2">
      <c r="I64" s="127"/>
    </row>
    <row r="65" spans="9:9" x14ac:dyDescent="0.2">
      <c r="I65" s="127"/>
    </row>
    <row r="66" spans="9:9" x14ac:dyDescent="0.2">
      <c r="I66" s="127"/>
    </row>
    <row r="67" spans="9:9" x14ac:dyDescent="0.2">
      <c r="I67" s="127"/>
    </row>
    <row r="68" spans="9:9" x14ac:dyDescent="0.2">
      <c r="I68" s="127"/>
    </row>
    <row r="69" spans="9:9" x14ac:dyDescent="0.2">
      <c r="I69" s="127"/>
    </row>
    <row r="70" spans="9:9" x14ac:dyDescent="0.2">
      <c r="I70" s="127"/>
    </row>
    <row r="71" spans="9:9" x14ac:dyDescent="0.2">
      <c r="I71" s="127"/>
    </row>
    <row r="72" spans="9:9" x14ac:dyDescent="0.2">
      <c r="I72" s="127"/>
    </row>
    <row r="73" spans="9:9" x14ac:dyDescent="0.2">
      <c r="I73" s="127"/>
    </row>
    <row r="74" spans="9:9" x14ac:dyDescent="0.2">
      <c r="I74" s="127"/>
    </row>
    <row r="75" spans="9:9" x14ac:dyDescent="0.2">
      <c r="I75" s="127"/>
    </row>
    <row r="76" spans="9:9" x14ac:dyDescent="0.2">
      <c r="I76" s="127"/>
    </row>
    <row r="77" spans="9:9" x14ac:dyDescent="0.2">
      <c r="I77" s="127"/>
    </row>
    <row r="78" spans="9:9" x14ac:dyDescent="0.2">
      <c r="I78" s="127"/>
    </row>
    <row r="79" spans="9:9" x14ac:dyDescent="0.2">
      <c r="I79" s="127"/>
    </row>
    <row r="80" spans="9:9" x14ac:dyDescent="0.2">
      <c r="I80" s="127"/>
    </row>
    <row r="81" spans="9:9" x14ac:dyDescent="0.2">
      <c r="I81" s="127"/>
    </row>
    <row r="82" spans="9:9" x14ac:dyDescent="0.2">
      <c r="I82" s="127"/>
    </row>
    <row r="83" spans="9:9" x14ac:dyDescent="0.2">
      <c r="I83" s="127"/>
    </row>
    <row r="84" spans="9:9" x14ac:dyDescent="0.2">
      <c r="I84" s="127"/>
    </row>
    <row r="85" spans="9:9" x14ac:dyDescent="0.2">
      <c r="I85" s="127"/>
    </row>
    <row r="86" spans="9:9" x14ac:dyDescent="0.2">
      <c r="I86" s="127"/>
    </row>
    <row r="87" spans="9:9" x14ac:dyDescent="0.2">
      <c r="I87" s="127"/>
    </row>
    <row r="88" spans="9:9" x14ac:dyDescent="0.2">
      <c r="I88" s="127"/>
    </row>
    <row r="89" spans="9:9" x14ac:dyDescent="0.2">
      <c r="I89" s="127"/>
    </row>
    <row r="90" spans="9:9" x14ac:dyDescent="0.2">
      <c r="I90" s="127"/>
    </row>
    <row r="91" spans="9:9" x14ac:dyDescent="0.2">
      <c r="I91" s="127"/>
    </row>
    <row r="92" spans="9:9" x14ac:dyDescent="0.2">
      <c r="I92" s="127"/>
    </row>
    <row r="93" spans="9:9" x14ac:dyDescent="0.2">
      <c r="I93" s="127"/>
    </row>
    <row r="94" spans="9:9" x14ac:dyDescent="0.2">
      <c r="I94" s="127"/>
    </row>
    <row r="95" spans="9:9" x14ac:dyDescent="0.2">
      <c r="I95" s="127"/>
    </row>
    <row r="96" spans="9:9" x14ac:dyDescent="0.2">
      <c r="I96" s="127"/>
    </row>
    <row r="97" spans="9:9" x14ac:dyDescent="0.2">
      <c r="I97" s="127"/>
    </row>
    <row r="98" spans="9:9" x14ac:dyDescent="0.2">
      <c r="I98" s="127"/>
    </row>
    <row r="99" spans="9:9" x14ac:dyDescent="0.2">
      <c r="I99" s="127"/>
    </row>
    <row r="100" spans="9:9" x14ac:dyDescent="0.2">
      <c r="I100" s="127"/>
    </row>
    <row r="101" spans="9:9" x14ac:dyDescent="0.2">
      <c r="I101" s="127"/>
    </row>
    <row r="102" spans="9:9" x14ac:dyDescent="0.2">
      <c r="I102" s="127"/>
    </row>
    <row r="103" spans="9:9" x14ac:dyDescent="0.2">
      <c r="I103" s="127"/>
    </row>
    <row r="104" spans="9:9" x14ac:dyDescent="0.2">
      <c r="I104" s="127"/>
    </row>
    <row r="105" spans="9:9" x14ac:dyDescent="0.2">
      <c r="I105" s="127"/>
    </row>
    <row r="106" spans="9:9" x14ac:dyDescent="0.2">
      <c r="I106" s="127"/>
    </row>
    <row r="107" spans="9:9" x14ac:dyDescent="0.2">
      <c r="I107" s="127"/>
    </row>
    <row r="108" spans="9:9" x14ac:dyDescent="0.2">
      <c r="I108" s="127"/>
    </row>
    <row r="109" spans="9:9" x14ac:dyDescent="0.2">
      <c r="I109" s="127"/>
    </row>
    <row r="110" spans="9:9" x14ac:dyDescent="0.2">
      <c r="I110" s="127"/>
    </row>
    <row r="111" spans="9:9" x14ac:dyDescent="0.2">
      <c r="I111" s="127"/>
    </row>
    <row r="112" spans="9:9" x14ac:dyDescent="0.2">
      <c r="I112" s="127"/>
    </row>
    <row r="113" spans="9:9" x14ac:dyDescent="0.2">
      <c r="I113" s="127"/>
    </row>
    <row r="114" spans="9:9" x14ac:dyDescent="0.2">
      <c r="I114" s="127"/>
    </row>
    <row r="115" spans="9:9" x14ac:dyDescent="0.2">
      <c r="I115" s="127"/>
    </row>
    <row r="116" spans="9:9" x14ac:dyDescent="0.2">
      <c r="I116" s="127"/>
    </row>
    <row r="117" spans="9:9" x14ac:dyDescent="0.2">
      <c r="I117" s="127"/>
    </row>
    <row r="118" spans="9:9" x14ac:dyDescent="0.2">
      <c r="I118" s="127"/>
    </row>
    <row r="119" spans="9:9" x14ac:dyDescent="0.2">
      <c r="I119" s="127"/>
    </row>
    <row r="120" spans="9:9" x14ac:dyDescent="0.2">
      <c r="I120" s="127"/>
    </row>
    <row r="121" spans="9:9" x14ac:dyDescent="0.2">
      <c r="I121" s="127"/>
    </row>
    <row r="122" spans="9:9" x14ac:dyDescent="0.2">
      <c r="I122" s="127"/>
    </row>
    <row r="123" spans="9:9" x14ac:dyDescent="0.2">
      <c r="I123" s="127"/>
    </row>
    <row r="124" spans="9:9" x14ac:dyDescent="0.2">
      <c r="I124" s="127"/>
    </row>
    <row r="125" spans="9:9" x14ac:dyDescent="0.2">
      <c r="I125" s="127"/>
    </row>
    <row r="126" spans="9:9" x14ac:dyDescent="0.2">
      <c r="I126" s="127"/>
    </row>
    <row r="127" spans="9:9" x14ac:dyDescent="0.2">
      <c r="I127" s="127"/>
    </row>
    <row r="128" spans="9:9" x14ac:dyDescent="0.2">
      <c r="I128" s="127"/>
    </row>
    <row r="129" spans="9:9" x14ac:dyDescent="0.2">
      <c r="I129" s="127"/>
    </row>
    <row r="130" spans="9:9" x14ac:dyDescent="0.2">
      <c r="I130" s="127"/>
    </row>
    <row r="131" spans="9:9" x14ac:dyDescent="0.2">
      <c r="I131" s="127"/>
    </row>
    <row r="132" spans="9:9" x14ac:dyDescent="0.2">
      <c r="I132" s="127"/>
    </row>
    <row r="133" spans="9:9" x14ac:dyDescent="0.2">
      <c r="I133" s="127"/>
    </row>
  </sheetData>
  <hyperlinks>
    <hyperlink ref="A31" location="'Schedule A1-School Districts'!A35" display="Grand Total Local Agencies and School Districts 3"/>
  </hyperlinks>
  <printOptions horizontalCentered="1" gridLines="1"/>
  <pageMargins left="0.35" right="0.35" top="1" bottom="0.75" header="0.4" footer="0.1"/>
  <pageSetup scale="41" fitToHeight="0" orientation="landscape" r:id="rId1"/>
  <headerFooter>
    <oddFooter>&amp;LSchedule A1: Detail of State-Mandated Program Payments by Fiscal Year
School Districts
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22"/>
  <sheetViews>
    <sheetView topLeftCell="A13" zoomScale="70" zoomScaleNormal="70" zoomScalePageLayoutView="90" workbookViewId="0">
      <selection activeCell="A33" sqref="A33"/>
    </sheetView>
  </sheetViews>
  <sheetFormatPr defaultColWidth="9.140625" defaultRowHeight="15" x14ac:dyDescent="0.2"/>
  <cols>
    <col min="1" max="1" width="105.5703125" style="37" customWidth="1"/>
    <col min="2" max="2" width="2.5703125" style="37" customWidth="1"/>
    <col min="3" max="3" width="22.5703125" style="37" bestFit="1" customWidth="1"/>
    <col min="4" max="4" width="18.5703125" style="37" bestFit="1" customWidth="1"/>
    <col min="5" max="5" width="24.140625" style="122" bestFit="1" customWidth="1"/>
    <col min="6" max="6" width="24.140625" style="37" bestFit="1" customWidth="1"/>
    <col min="7" max="7" width="2.5703125" style="37" customWidth="1"/>
    <col min="8" max="8" width="24.140625" style="37" bestFit="1" customWidth="1"/>
    <col min="9" max="9" width="2.5703125" style="37" customWidth="1"/>
    <col min="10" max="10" width="21.7109375" style="37" bestFit="1" customWidth="1"/>
    <col min="11" max="11" width="2.5703125" style="37" customWidth="1"/>
    <col min="12" max="12" width="21.7109375" style="37" bestFit="1" customWidth="1"/>
    <col min="13" max="13" width="20" style="37" bestFit="1" customWidth="1"/>
    <col min="14" max="14" width="2.5703125" style="37" customWidth="1"/>
    <col min="15" max="15" width="24.140625" style="37" bestFit="1" customWidth="1"/>
    <col min="16" max="16" width="2.5703125" style="185" customWidth="1"/>
    <col min="17" max="16384" width="9.140625" style="37"/>
  </cols>
  <sheetData>
    <row r="1" spans="1:16" s="99" customFormat="1" ht="54" customHeight="1" x14ac:dyDescent="0.2">
      <c r="A1" s="82" t="s">
        <v>563</v>
      </c>
      <c r="B1" s="83"/>
      <c r="C1" s="83"/>
      <c r="D1" s="83"/>
      <c r="E1" s="156"/>
      <c r="F1" s="83"/>
      <c r="G1" s="83"/>
      <c r="H1" s="83"/>
      <c r="I1" s="83"/>
      <c r="J1" s="83"/>
      <c r="K1" s="83"/>
      <c r="L1" s="83"/>
      <c r="M1" s="83"/>
      <c r="N1" s="83"/>
      <c r="O1" s="83"/>
      <c r="P1" s="157"/>
    </row>
    <row r="2" spans="1:16" s="113" customFormat="1" ht="60" customHeight="1" x14ac:dyDescent="0.2">
      <c r="A2" s="88" t="s">
        <v>0</v>
      </c>
      <c r="B2" s="158" t="s">
        <v>457</v>
      </c>
      <c r="C2" s="88" t="s">
        <v>1</v>
      </c>
      <c r="D2" s="88" t="s">
        <v>2</v>
      </c>
      <c r="E2" s="159" t="s">
        <v>3</v>
      </c>
      <c r="F2" s="159" t="s">
        <v>162</v>
      </c>
      <c r="G2" s="160" t="s">
        <v>584</v>
      </c>
      <c r="H2" s="161" t="s">
        <v>565</v>
      </c>
      <c r="I2" s="162" t="s">
        <v>474</v>
      </c>
      <c r="J2" s="161" t="s">
        <v>566</v>
      </c>
      <c r="K2" s="163" t="s">
        <v>475</v>
      </c>
      <c r="L2" s="159" t="s">
        <v>4</v>
      </c>
      <c r="M2" s="161" t="s">
        <v>567</v>
      </c>
      <c r="N2" s="162" t="s">
        <v>476</v>
      </c>
      <c r="O2" s="161" t="s">
        <v>568</v>
      </c>
      <c r="P2" s="164" t="s">
        <v>477</v>
      </c>
    </row>
    <row r="3" spans="1:16" ht="15.75" customHeight="1" x14ac:dyDescent="0.2">
      <c r="A3" s="165" t="s">
        <v>5</v>
      </c>
      <c r="B3" s="146" t="s">
        <v>457</v>
      </c>
      <c r="C3" s="146" t="s">
        <v>457</v>
      </c>
      <c r="D3" s="146" t="s">
        <v>457</v>
      </c>
      <c r="E3" s="146" t="s">
        <v>457</v>
      </c>
      <c r="F3" s="146" t="s">
        <v>457</v>
      </c>
      <c r="G3" s="166" t="s">
        <v>465</v>
      </c>
      <c r="H3" s="146" t="s">
        <v>457</v>
      </c>
      <c r="I3" s="146" t="s">
        <v>457</v>
      </c>
      <c r="J3" s="146" t="s">
        <v>457</v>
      </c>
      <c r="K3" s="146" t="s">
        <v>457</v>
      </c>
      <c r="L3" s="146" t="s">
        <v>457</v>
      </c>
      <c r="M3" s="146" t="s">
        <v>457</v>
      </c>
      <c r="N3" s="146" t="s">
        <v>457</v>
      </c>
      <c r="O3" s="146" t="s">
        <v>457</v>
      </c>
      <c r="P3" s="146" t="s">
        <v>457</v>
      </c>
    </row>
    <row r="4" spans="1:16" ht="15.75" customHeight="1" x14ac:dyDescent="0.2">
      <c r="A4" s="129" t="s">
        <v>6</v>
      </c>
      <c r="B4" s="129"/>
      <c r="C4" s="130" t="s">
        <v>564</v>
      </c>
      <c r="D4" s="130" t="s">
        <v>478</v>
      </c>
      <c r="E4" s="73">
        <v>810619489</v>
      </c>
      <c r="F4" s="73">
        <v>364729589</v>
      </c>
      <c r="G4" s="167">
        <v>1</v>
      </c>
      <c r="H4" s="72">
        <v>445889900</v>
      </c>
      <c r="I4" s="146" t="s">
        <v>457</v>
      </c>
      <c r="J4" s="72">
        <v>55220578</v>
      </c>
      <c r="K4" s="146" t="s">
        <v>457</v>
      </c>
      <c r="L4" s="72">
        <v>48865692</v>
      </c>
      <c r="M4" s="72">
        <v>6354886</v>
      </c>
      <c r="N4" s="146" t="s">
        <v>457</v>
      </c>
      <c r="O4" s="72">
        <v>439535014</v>
      </c>
      <c r="P4" s="168" t="s">
        <v>457</v>
      </c>
    </row>
    <row r="5" spans="1:16" ht="15.75" customHeight="1" x14ac:dyDescent="0.2">
      <c r="A5" s="48" t="s">
        <v>7</v>
      </c>
      <c r="B5" s="75" t="s">
        <v>457</v>
      </c>
      <c r="C5" s="75" t="s">
        <v>457</v>
      </c>
      <c r="D5" s="75" t="s">
        <v>457</v>
      </c>
      <c r="E5" s="76">
        <f>SUBTOTAL(109,scheduleblocalfunded[Program
Costs])</f>
        <v>810619489</v>
      </c>
      <c r="F5" s="76">
        <f>SUBTOTAL(109,scheduleblocalfunded[Less: Net Payments and Offsets])</f>
        <v>364729589</v>
      </c>
      <c r="G5" s="75" t="s">
        <v>457</v>
      </c>
      <c r="H5" s="76">
        <f>SUBTOTAL(109,scheduleblocalfunded[Accounts Payable
Balance 3])</f>
        <v>445889900</v>
      </c>
      <c r="I5" s="75" t="s">
        <v>457</v>
      </c>
      <c r="J5" s="76">
        <f>SUBTOTAL(109,scheduleblocalfunded[Established
Accounts
Receivable 4])</f>
        <v>55220578</v>
      </c>
      <c r="K5" s="75" t="s">
        <v>457</v>
      </c>
      <c r="L5" s="76">
        <f>SUBTOTAL(109,scheduleblocalfunded[Less: Recovered
Amount])</f>
        <v>48865692</v>
      </c>
      <c r="M5" s="76">
        <f>SUBTOTAL(109,scheduleblocalfunded[Accounts Receivable
Balance 5])</f>
        <v>6354886</v>
      </c>
      <c r="N5" s="75" t="s">
        <v>457</v>
      </c>
      <c r="O5" s="76">
        <f>SUBTOTAL(109,scheduleblocalfunded[Net
Balance 6])</f>
        <v>439535014</v>
      </c>
      <c r="P5" s="75" t="s">
        <v>457</v>
      </c>
    </row>
    <row r="6" spans="1:16" s="113" customFormat="1" ht="15.75" customHeight="1" x14ac:dyDescent="0.2">
      <c r="A6" s="169" t="s">
        <v>463</v>
      </c>
      <c r="B6" s="146"/>
      <c r="C6" s="103"/>
      <c r="D6" s="103"/>
      <c r="E6" s="122"/>
      <c r="F6" s="122"/>
      <c r="G6" s="37"/>
      <c r="H6" s="122"/>
      <c r="I6" s="37"/>
      <c r="J6" s="122"/>
      <c r="K6" s="37"/>
      <c r="L6" s="122"/>
      <c r="M6" s="122"/>
      <c r="N6" s="37"/>
      <c r="O6" s="122"/>
      <c r="P6" s="37"/>
    </row>
    <row r="7" spans="1:16" s="113" customFormat="1" ht="60" customHeight="1" x14ac:dyDescent="0.2">
      <c r="A7" s="170" t="s">
        <v>0</v>
      </c>
      <c r="B7" s="171" t="s">
        <v>462</v>
      </c>
      <c r="C7" s="40" t="s">
        <v>1</v>
      </c>
      <c r="D7" s="40" t="s">
        <v>2</v>
      </c>
      <c r="E7" s="172" t="s">
        <v>3</v>
      </c>
      <c r="F7" s="172" t="s">
        <v>162</v>
      </c>
      <c r="G7" s="173" t="s">
        <v>479</v>
      </c>
      <c r="H7" s="172" t="s">
        <v>569</v>
      </c>
      <c r="I7" s="174" t="s">
        <v>480</v>
      </c>
      <c r="J7" s="172" t="s">
        <v>570</v>
      </c>
      <c r="K7" s="175" t="s">
        <v>481</v>
      </c>
      <c r="L7" s="172" t="s">
        <v>4</v>
      </c>
      <c r="M7" s="172" t="s">
        <v>571</v>
      </c>
      <c r="N7" s="174" t="s">
        <v>482</v>
      </c>
      <c r="O7" s="172" t="s">
        <v>572</v>
      </c>
      <c r="P7" s="164" t="s">
        <v>483</v>
      </c>
    </row>
    <row r="8" spans="1:16" ht="15.75" customHeight="1" x14ac:dyDescent="0.2">
      <c r="A8" s="165" t="s">
        <v>8</v>
      </c>
      <c r="B8" s="146" t="s">
        <v>457</v>
      </c>
      <c r="C8" s="146" t="s">
        <v>457</v>
      </c>
      <c r="D8" s="146" t="s">
        <v>457</v>
      </c>
      <c r="E8" s="146" t="s">
        <v>457</v>
      </c>
      <c r="F8" s="146" t="s">
        <v>457</v>
      </c>
      <c r="G8" s="146" t="s">
        <v>466</v>
      </c>
      <c r="H8" s="146" t="s">
        <v>457</v>
      </c>
      <c r="I8" s="146" t="s">
        <v>457</v>
      </c>
      <c r="J8" s="146" t="s">
        <v>457</v>
      </c>
      <c r="K8" s="146" t="s">
        <v>457</v>
      </c>
      <c r="L8" s="146" t="s">
        <v>457</v>
      </c>
      <c r="M8" s="146" t="s">
        <v>457</v>
      </c>
      <c r="N8" s="146" t="s">
        <v>457</v>
      </c>
      <c r="O8" s="146" t="s">
        <v>457</v>
      </c>
      <c r="P8" s="146" t="s">
        <v>457</v>
      </c>
    </row>
    <row r="9" spans="1:16" ht="15.75" customHeight="1" x14ac:dyDescent="0.2">
      <c r="A9" s="129" t="s">
        <v>9</v>
      </c>
      <c r="B9" s="129"/>
      <c r="C9" s="130" t="s">
        <v>564</v>
      </c>
      <c r="D9" s="130" t="s">
        <v>478</v>
      </c>
      <c r="E9" s="73">
        <v>6197327151</v>
      </c>
      <c r="F9" s="176">
        <v>5358761091</v>
      </c>
      <c r="G9" s="167">
        <v>2</v>
      </c>
      <c r="H9" s="72">
        <v>838566060</v>
      </c>
      <c r="I9" s="146" t="s">
        <v>457</v>
      </c>
      <c r="J9" s="72">
        <v>195262044</v>
      </c>
      <c r="K9" s="146" t="s">
        <v>457</v>
      </c>
      <c r="L9" s="72">
        <v>143556844</v>
      </c>
      <c r="M9" s="72">
        <v>51705200</v>
      </c>
      <c r="N9" s="146" t="s">
        <v>457</v>
      </c>
      <c r="O9" s="72">
        <v>786860860</v>
      </c>
      <c r="P9" s="146" t="s">
        <v>457</v>
      </c>
    </row>
    <row r="10" spans="1:16" ht="15.75" customHeight="1" x14ac:dyDescent="0.2">
      <c r="A10" s="129" t="s">
        <v>10</v>
      </c>
      <c r="B10" s="129"/>
      <c r="C10" s="130" t="s">
        <v>11</v>
      </c>
      <c r="D10" s="130" t="s">
        <v>478</v>
      </c>
      <c r="E10" s="73">
        <v>162623509</v>
      </c>
      <c r="F10" s="73">
        <v>151913713</v>
      </c>
      <c r="G10" s="167">
        <v>2</v>
      </c>
      <c r="H10" s="72">
        <v>10709796</v>
      </c>
      <c r="I10" s="146" t="s">
        <v>457</v>
      </c>
      <c r="J10" s="72">
        <v>24929129</v>
      </c>
      <c r="K10" s="146" t="s">
        <v>457</v>
      </c>
      <c r="L10" s="72">
        <v>12137711</v>
      </c>
      <c r="M10" s="72">
        <v>12791418</v>
      </c>
      <c r="N10" s="146" t="s">
        <v>457</v>
      </c>
      <c r="O10" s="72">
        <v>-2081622</v>
      </c>
      <c r="P10" s="146" t="s">
        <v>457</v>
      </c>
    </row>
    <row r="11" spans="1:16" ht="15.75" customHeight="1" x14ac:dyDescent="0.2">
      <c r="A11" s="177" t="s">
        <v>12</v>
      </c>
      <c r="B11" s="75" t="s">
        <v>457</v>
      </c>
      <c r="C11" s="75" t="s">
        <v>457</v>
      </c>
      <c r="D11" s="75" t="s">
        <v>457</v>
      </c>
      <c r="E11" s="76">
        <f>SUBTOTAL(109,schedulebsdandccdfunded[Program
Costs])</f>
        <v>6359950660</v>
      </c>
      <c r="F11" s="76">
        <f>SUBTOTAL(109,schedulebsdandccdfunded[Less: Net Payments and Offsets])</f>
        <v>5510674804</v>
      </c>
      <c r="G11" s="75" t="s">
        <v>457</v>
      </c>
      <c r="H11" s="76">
        <f>SUBTOTAL(109,schedulebsdandccdfunded[Accounts Payable
Balance 3])</f>
        <v>849275856</v>
      </c>
      <c r="I11" s="75" t="s">
        <v>457</v>
      </c>
      <c r="J11" s="76">
        <f>SUBTOTAL(109,schedulebsdandccdfunded[Established
Accounts 
Receivable 4])</f>
        <v>220191173</v>
      </c>
      <c r="K11" s="75" t="s">
        <v>457</v>
      </c>
      <c r="L11" s="76">
        <f>SUBTOTAL(109,schedulebsdandccdfunded[Less: Recovered
Amount])</f>
        <v>155694555</v>
      </c>
      <c r="M11" s="76">
        <f>SUBTOTAL(109,schedulebsdandccdfunded[Accounts Receivable
Balance 5])</f>
        <v>64496618</v>
      </c>
      <c r="N11" s="75" t="s">
        <v>457</v>
      </c>
      <c r="O11" s="76">
        <f>SUBTOTAL(109,schedulebsdandccdfunded[Net
Balance 6])</f>
        <v>784779238</v>
      </c>
      <c r="P11" s="75" t="s">
        <v>457</v>
      </c>
    </row>
    <row r="12" spans="1:16" s="113" customFormat="1" ht="15.75" customHeight="1" x14ac:dyDescent="0.2">
      <c r="A12" s="169" t="s">
        <v>463</v>
      </c>
      <c r="B12" s="146"/>
      <c r="C12" s="103"/>
      <c r="D12" s="103"/>
      <c r="E12" s="122"/>
      <c r="F12" s="122"/>
      <c r="G12" s="37"/>
      <c r="H12" s="122"/>
      <c r="I12" s="37"/>
      <c r="J12" s="122"/>
      <c r="K12" s="37"/>
      <c r="L12" s="122"/>
      <c r="M12" s="122"/>
      <c r="N12" s="37"/>
      <c r="O12" s="122"/>
      <c r="P12" s="37"/>
    </row>
    <row r="13" spans="1:16" s="113" customFormat="1" ht="60" customHeight="1" x14ac:dyDescent="0.2">
      <c r="A13" s="40" t="s">
        <v>0</v>
      </c>
      <c r="B13" s="171" t="s">
        <v>462</v>
      </c>
      <c r="C13" s="40" t="s">
        <v>1</v>
      </c>
      <c r="D13" s="40" t="s">
        <v>2</v>
      </c>
      <c r="E13" s="172" t="s">
        <v>3</v>
      </c>
      <c r="F13" s="172" t="s">
        <v>162</v>
      </c>
      <c r="G13" s="173" t="s">
        <v>479</v>
      </c>
      <c r="H13" s="172" t="s">
        <v>569</v>
      </c>
      <c r="I13" s="174" t="s">
        <v>480</v>
      </c>
      <c r="J13" s="172" t="s">
        <v>570</v>
      </c>
      <c r="K13" s="175" t="s">
        <v>481</v>
      </c>
      <c r="L13" s="172" t="s">
        <v>4</v>
      </c>
      <c r="M13" s="172" t="s">
        <v>571</v>
      </c>
      <c r="N13" s="174" t="s">
        <v>482</v>
      </c>
      <c r="O13" s="172" t="s">
        <v>572</v>
      </c>
      <c r="P13" s="164" t="s">
        <v>483</v>
      </c>
    </row>
    <row r="14" spans="1:16" ht="15.75" customHeight="1" x14ac:dyDescent="0.2">
      <c r="A14" s="129" t="s">
        <v>6</v>
      </c>
      <c r="B14" s="146" t="s">
        <v>457</v>
      </c>
      <c r="C14" s="130" t="s">
        <v>564</v>
      </c>
      <c r="D14" s="130" t="s">
        <v>478</v>
      </c>
      <c r="E14" s="73">
        <f>scheduleblocalfunded[[#Totals],[Program
Costs]]</f>
        <v>810619489</v>
      </c>
      <c r="F14" s="73">
        <f>scheduleblocalfunded[[#Totals],[Less: Net Payments and Offsets]]</f>
        <v>364729589</v>
      </c>
      <c r="G14" s="146" t="s">
        <v>457</v>
      </c>
      <c r="H14" s="72">
        <f>scheduleblocalfunded[[#Totals],[Accounts Payable
Balance 3]]</f>
        <v>445889900</v>
      </c>
      <c r="I14" s="146" t="s">
        <v>457</v>
      </c>
      <c r="J14" s="72">
        <f>scheduleblocalfunded[[#Totals],[Established
Accounts
Receivable 4]]</f>
        <v>55220578</v>
      </c>
      <c r="K14" s="146" t="s">
        <v>457</v>
      </c>
      <c r="L14" s="72">
        <f>scheduleblocalfunded[[#Totals],[Less: Recovered
Amount]]</f>
        <v>48865692</v>
      </c>
      <c r="M14" s="72">
        <f>scheduleblocalfunded[[#Totals],[Accounts Receivable
Balance 5]]</f>
        <v>6354886</v>
      </c>
      <c r="N14" s="146" t="s">
        <v>457</v>
      </c>
      <c r="O14" s="72">
        <f>scheduleblocalfunded[[#Totals],[Net
Balance 6]]</f>
        <v>439535014</v>
      </c>
      <c r="P14" s="168" t="s">
        <v>457</v>
      </c>
    </row>
    <row r="15" spans="1:16" ht="15.75" customHeight="1" x14ac:dyDescent="0.2">
      <c r="A15" s="129" t="s">
        <v>9</v>
      </c>
      <c r="B15" s="146" t="s">
        <v>457</v>
      </c>
      <c r="C15" s="130" t="s">
        <v>564</v>
      </c>
      <c r="D15" s="130" t="s">
        <v>478</v>
      </c>
      <c r="E15" s="73">
        <f>E9</f>
        <v>6197327151</v>
      </c>
      <c r="F15" s="73">
        <f>F9</f>
        <v>5358761091</v>
      </c>
      <c r="G15" s="146" t="s">
        <v>457</v>
      </c>
      <c r="H15" s="72">
        <f>H9</f>
        <v>838566060</v>
      </c>
      <c r="I15" s="146" t="s">
        <v>457</v>
      </c>
      <c r="J15" s="72">
        <f>J9</f>
        <v>195262044</v>
      </c>
      <c r="K15" s="146" t="s">
        <v>457</v>
      </c>
      <c r="L15" s="72">
        <f>L9</f>
        <v>143556844</v>
      </c>
      <c r="M15" s="72">
        <f>M9</f>
        <v>51705200</v>
      </c>
      <c r="N15" s="146" t="s">
        <v>457</v>
      </c>
      <c r="O15" s="72">
        <f>O9</f>
        <v>786860860</v>
      </c>
      <c r="P15" s="146" t="s">
        <v>457</v>
      </c>
    </row>
    <row r="16" spans="1:16" ht="15.75" customHeight="1" x14ac:dyDescent="0.2">
      <c r="A16" s="129" t="s">
        <v>10</v>
      </c>
      <c r="B16" s="146" t="s">
        <v>457</v>
      </c>
      <c r="C16" s="130" t="s">
        <v>11</v>
      </c>
      <c r="D16" s="130" t="s">
        <v>478</v>
      </c>
      <c r="E16" s="73">
        <f>E10</f>
        <v>162623509</v>
      </c>
      <c r="F16" s="73">
        <f>F10</f>
        <v>151913713</v>
      </c>
      <c r="G16" s="146" t="s">
        <v>457</v>
      </c>
      <c r="H16" s="72">
        <f>H10</f>
        <v>10709796</v>
      </c>
      <c r="I16" s="146" t="s">
        <v>457</v>
      </c>
      <c r="J16" s="72">
        <f>J10</f>
        <v>24929129</v>
      </c>
      <c r="K16" s="146" t="s">
        <v>457</v>
      </c>
      <c r="L16" s="72">
        <f>L10</f>
        <v>12137711</v>
      </c>
      <c r="M16" s="72">
        <f>M10</f>
        <v>12791418</v>
      </c>
      <c r="N16" s="146" t="s">
        <v>457</v>
      </c>
      <c r="O16" s="72">
        <f>O10</f>
        <v>-2081622</v>
      </c>
      <c r="P16" s="146" t="s">
        <v>457</v>
      </c>
    </row>
    <row r="17" spans="1:16" ht="18.75" customHeight="1" x14ac:dyDescent="0.2">
      <c r="A17" s="191" t="s">
        <v>573</v>
      </c>
      <c r="B17" s="75" t="s">
        <v>484</v>
      </c>
      <c r="C17" s="75" t="s">
        <v>457</v>
      </c>
      <c r="D17" s="75" t="s">
        <v>457</v>
      </c>
      <c r="E17" s="76">
        <f>SUBTOTAL(109,schedulebfunded[Program
Costs])</f>
        <v>7170570149</v>
      </c>
      <c r="F17" s="76">
        <f>SUBTOTAL(109,schedulebfunded[Less: Net Payments and Offsets])</f>
        <v>5875404393</v>
      </c>
      <c r="G17" s="75" t="s">
        <v>457</v>
      </c>
      <c r="H17" s="77">
        <f>SUBTOTAL(109,schedulebfunded[Accounts Payable
Balance 3])</f>
        <v>1295165756</v>
      </c>
      <c r="I17" s="75" t="s">
        <v>457</v>
      </c>
      <c r="J17" s="77">
        <f>SUBTOTAL(109,schedulebfunded[Established
Accounts 
Receivable 4])</f>
        <v>275411751</v>
      </c>
      <c r="K17" s="75" t="s">
        <v>457</v>
      </c>
      <c r="L17" s="77">
        <f>SUBTOTAL(109,schedulebfunded[Less: Recovered
Amount])</f>
        <v>204560247</v>
      </c>
      <c r="M17" s="77">
        <f>SUBTOTAL(109,schedulebfunded[Accounts Receivable
Balance 5])</f>
        <v>70851504</v>
      </c>
      <c r="N17" s="75" t="s">
        <v>457</v>
      </c>
      <c r="O17" s="77">
        <f>SUBTOTAL(109,schedulebfunded[Net
Balance 6])</f>
        <v>1224314252</v>
      </c>
      <c r="P17" s="75" t="s">
        <v>457</v>
      </c>
    </row>
    <row r="18" spans="1:16" s="113" customFormat="1" ht="15.75" customHeight="1" x14ac:dyDescent="0.2">
      <c r="A18" s="169" t="s">
        <v>463</v>
      </c>
      <c r="B18" s="146"/>
      <c r="C18" s="103"/>
      <c r="D18" s="103"/>
      <c r="E18" s="122"/>
      <c r="F18" s="122"/>
      <c r="G18" s="37"/>
      <c r="H18" s="122"/>
      <c r="I18" s="37"/>
      <c r="J18" s="122"/>
      <c r="K18" s="37"/>
      <c r="L18" s="122"/>
      <c r="M18" s="122"/>
      <c r="N18" s="37"/>
      <c r="O18" s="122"/>
      <c r="P18" s="37"/>
    </row>
    <row r="19" spans="1:16" s="113" customFormat="1" ht="60" customHeight="1" x14ac:dyDescent="0.2">
      <c r="A19" s="170" t="s">
        <v>0</v>
      </c>
      <c r="B19" s="171" t="s">
        <v>462</v>
      </c>
      <c r="C19" s="40" t="s">
        <v>1</v>
      </c>
      <c r="D19" s="40" t="s">
        <v>2</v>
      </c>
      <c r="E19" s="172" t="s">
        <v>3</v>
      </c>
      <c r="F19" s="172" t="s">
        <v>162</v>
      </c>
      <c r="G19" s="173" t="s">
        <v>479</v>
      </c>
      <c r="H19" s="172" t="s">
        <v>569</v>
      </c>
      <c r="I19" s="174" t="s">
        <v>480</v>
      </c>
      <c r="J19" s="172" t="s">
        <v>570</v>
      </c>
      <c r="K19" s="175" t="s">
        <v>481</v>
      </c>
      <c r="L19" s="172" t="s">
        <v>4</v>
      </c>
      <c r="M19" s="172" t="s">
        <v>571</v>
      </c>
      <c r="N19" s="174" t="s">
        <v>482</v>
      </c>
      <c r="O19" s="172" t="s">
        <v>572</v>
      </c>
      <c r="P19" s="164" t="s">
        <v>483</v>
      </c>
    </row>
    <row r="20" spans="1:16" x14ac:dyDescent="0.2">
      <c r="A20" s="165" t="s">
        <v>5</v>
      </c>
      <c r="B20" s="146" t="s">
        <v>457</v>
      </c>
      <c r="C20" s="123" t="s">
        <v>457</v>
      </c>
      <c r="D20" s="123" t="s">
        <v>457</v>
      </c>
      <c r="E20" s="123" t="s">
        <v>457</v>
      </c>
      <c r="F20" s="123" t="s">
        <v>457</v>
      </c>
      <c r="G20" s="123" t="s">
        <v>457</v>
      </c>
      <c r="H20" s="123" t="s">
        <v>457</v>
      </c>
      <c r="I20" s="123" t="s">
        <v>457</v>
      </c>
      <c r="J20" s="123" t="s">
        <v>457</v>
      </c>
      <c r="K20" s="123" t="s">
        <v>457</v>
      </c>
      <c r="L20" s="123" t="s">
        <v>457</v>
      </c>
      <c r="M20" s="123" t="s">
        <v>457</v>
      </c>
      <c r="N20" s="123" t="s">
        <v>457</v>
      </c>
      <c r="O20" s="123" t="s">
        <v>457</v>
      </c>
      <c r="P20" s="123" t="s">
        <v>457</v>
      </c>
    </row>
    <row r="21" spans="1:16" x14ac:dyDescent="0.2">
      <c r="A21" s="129" t="s">
        <v>6</v>
      </c>
      <c r="B21" s="146" t="s">
        <v>457</v>
      </c>
      <c r="C21" s="130" t="s">
        <v>564</v>
      </c>
      <c r="D21" s="103" t="s">
        <v>485</v>
      </c>
      <c r="E21" s="72">
        <v>484496556</v>
      </c>
      <c r="F21" s="178">
        <v>0</v>
      </c>
      <c r="G21" s="146" t="s">
        <v>457</v>
      </c>
      <c r="H21" s="72">
        <v>484496556</v>
      </c>
      <c r="I21" s="146" t="s">
        <v>457</v>
      </c>
      <c r="J21" s="178">
        <v>0</v>
      </c>
      <c r="K21" s="179" t="s">
        <v>457</v>
      </c>
      <c r="L21" s="178">
        <v>0</v>
      </c>
      <c r="M21" s="178">
        <v>0</v>
      </c>
      <c r="N21" s="146" t="s">
        <v>457</v>
      </c>
      <c r="O21" s="72">
        <v>484496556</v>
      </c>
      <c r="P21" s="146" t="s">
        <v>457</v>
      </c>
    </row>
    <row r="22" spans="1:16" x14ac:dyDescent="0.2">
      <c r="A22" s="48" t="s">
        <v>7</v>
      </c>
      <c r="B22" s="75" t="s">
        <v>457</v>
      </c>
      <c r="C22" s="111" t="s">
        <v>457</v>
      </c>
      <c r="D22" s="111" t="s">
        <v>457</v>
      </c>
      <c r="E22" s="76">
        <f>SUBTOTAL(109,scheduleblocalunfunded[Program
Costs])</f>
        <v>484496556</v>
      </c>
      <c r="F22" s="180">
        <f>SUBTOTAL(109,scheduleblocalunfunded[Less: Net Payments and Offsets])</f>
        <v>0</v>
      </c>
      <c r="G22" s="75" t="s">
        <v>457</v>
      </c>
      <c r="H22" s="76">
        <f>SUBTOTAL(109,scheduleblocalunfunded[Accounts Payable
Balance 3])</f>
        <v>484496556</v>
      </c>
      <c r="I22" s="75" t="s">
        <v>457</v>
      </c>
      <c r="J22" s="180">
        <f>SUBTOTAL(109,scheduleblocalunfunded[Established
Accounts 
Receivable 4])</f>
        <v>0</v>
      </c>
      <c r="K22" s="181" t="s">
        <v>457</v>
      </c>
      <c r="L22" s="180">
        <f>SUBTOTAL(109,scheduleblocalunfunded[Less: Recovered
Amount])</f>
        <v>0</v>
      </c>
      <c r="M22" s="180">
        <f>SUBTOTAL(109,scheduleblocalunfunded[Accounts Receivable
Balance 5])</f>
        <v>0</v>
      </c>
      <c r="N22" s="75" t="s">
        <v>457</v>
      </c>
      <c r="O22" s="76">
        <f>SUBTOTAL(109,scheduleblocalunfunded[Net
Balance 6])</f>
        <v>484496556</v>
      </c>
      <c r="P22" s="75" t="s">
        <v>457</v>
      </c>
    </row>
    <row r="23" spans="1:16" s="113" customFormat="1" ht="15.75" customHeight="1" x14ac:dyDescent="0.2">
      <c r="A23" s="169" t="s">
        <v>463</v>
      </c>
      <c r="B23" s="146"/>
      <c r="C23" s="103"/>
      <c r="D23" s="103"/>
      <c r="E23" s="122"/>
      <c r="F23" s="122"/>
      <c r="G23" s="37"/>
      <c r="H23" s="122"/>
      <c r="I23" s="37"/>
      <c r="J23" s="122"/>
      <c r="K23" s="37"/>
      <c r="L23" s="122"/>
      <c r="M23" s="122"/>
      <c r="N23" s="37"/>
      <c r="O23" s="122"/>
      <c r="P23" s="37"/>
    </row>
    <row r="24" spans="1:16" s="113" customFormat="1" ht="60" customHeight="1" x14ac:dyDescent="0.2">
      <c r="A24" s="170" t="s">
        <v>0</v>
      </c>
      <c r="B24" s="171" t="s">
        <v>462</v>
      </c>
      <c r="C24" s="40" t="s">
        <v>1</v>
      </c>
      <c r="D24" s="40" t="s">
        <v>2</v>
      </c>
      <c r="E24" s="172" t="s">
        <v>3</v>
      </c>
      <c r="F24" s="172" t="s">
        <v>162</v>
      </c>
      <c r="G24" s="173" t="s">
        <v>479</v>
      </c>
      <c r="H24" s="172" t="s">
        <v>569</v>
      </c>
      <c r="I24" s="174" t="s">
        <v>480</v>
      </c>
      <c r="J24" s="172" t="s">
        <v>570</v>
      </c>
      <c r="K24" s="175" t="s">
        <v>481</v>
      </c>
      <c r="L24" s="172" t="s">
        <v>4</v>
      </c>
      <c r="M24" s="172" t="s">
        <v>571</v>
      </c>
      <c r="N24" s="174" t="s">
        <v>482</v>
      </c>
      <c r="O24" s="172" t="s">
        <v>572</v>
      </c>
      <c r="P24" s="164" t="s">
        <v>483</v>
      </c>
    </row>
    <row r="25" spans="1:16" s="113" customFormat="1" ht="15.75" customHeight="1" x14ac:dyDescent="0.2">
      <c r="A25" s="129" t="s">
        <v>6</v>
      </c>
      <c r="B25" s="146" t="s">
        <v>457</v>
      </c>
      <c r="C25" s="130" t="s">
        <v>564</v>
      </c>
      <c r="D25" s="103" t="s">
        <v>485</v>
      </c>
      <c r="E25" s="72">
        <v>484496556</v>
      </c>
      <c r="F25" s="178">
        <v>0</v>
      </c>
      <c r="G25" s="146" t="s">
        <v>457</v>
      </c>
      <c r="H25" s="72">
        <v>484496556</v>
      </c>
      <c r="I25" s="146" t="s">
        <v>457</v>
      </c>
      <c r="J25" s="178">
        <v>0</v>
      </c>
      <c r="K25" s="179" t="s">
        <v>457</v>
      </c>
      <c r="L25" s="178">
        <v>0</v>
      </c>
      <c r="M25" s="178">
        <v>0</v>
      </c>
      <c r="N25" s="146" t="s">
        <v>457</v>
      </c>
      <c r="O25" s="72">
        <v>484496556</v>
      </c>
      <c r="P25" s="146" t="s">
        <v>457</v>
      </c>
    </row>
    <row r="26" spans="1:16" s="113" customFormat="1" ht="18.75" customHeight="1" x14ac:dyDescent="0.2">
      <c r="A26" s="81" t="s">
        <v>574</v>
      </c>
      <c r="B26" s="75" t="s">
        <v>486</v>
      </c>
      <c r="C26" s="111" t="s">
        <v>457</v>
      </c>
      <c r="D26" s="111" t="s">
        <v>457</v>
      </c>
      <c r="E26" s="77">
        <f>SUBTOTAL(109,schedulebunfunded[Program
Costs])</f>
        <v>484496556</v>
      </c>
      <c r="F26" s="180">
        <f>SUBTOTAL(109,schedulebunfunded[Less: Net Payments and Offsets])</f>
        <v>0</v>
      </c>
      <c r="G26" s="111" t="s">
        <v>457</v>
      </c>
      <c r="H26" s="77">
        <f>SUBTOTAL(109,schedulebunfunded[Accounts Payable
Balance 3])</f>
        <v>484496556</v>
      </c>
      <c r="I26" s="111" t="s">
        <v>457</v>
      </c>
      <c r="J26" s="180">
        <f>SUBTOTAL(109,schedulebunfunded[Established
Accounts 
Receivable 4])</f>
        <v>0</v>
      </c>
      <c r="K26" s="181" t="s">
        <v>457</v>
      </c>
      <c r="L26" s="180">
        <f>SUBTOTAL(109,schedulebunfunded[Less: Recovered
Amount])</f>
        <v>0</v>
      </c>
      <c r="M26" s="180">
        <f>SUBTOTAL(109,schedulebunfunded[Accounts Receivable
Balance 5])</f>
        <v>0</v>
      </c>
      <c r="N26" s="111" t="s">
        <v>457</v>
      </c>
      <c r="O26" s="77">
        <f>SUBTOTAL(109,schedulebunfunded[Net
Balance 6])</f>
        <v>484496556</v>
      </c>
      <c r="P26" s="111" t="s">
        <v>457</v>
      </c>
    </row>
    <row r="27" spans="1:16" s="113" customFormat="1" ht="15.75" customHeight="1" x14ac:dyDescent="0.2">
      <c r="A27" s="169" t="s">
        <v>463</v>
      </c>
      <c r="B27" s="146"/>
      <c r="C27" s="103"/>
      <c r="D27" s="103"/>
      <c r="E27" s="122"/>
      <c r="F27" s="122"/>
      <c r="G27" s="37"/>
      <c r="H27" s="122"/>
      <c r="I27" s="37"/>
      <c r="J27" s="122"/>
      <c r="K27" s="37"/>
      <c r="L27" s="122"/>
      <c r="M27" s="122"/>
      <c r="N27" s="37"/>
      <c r="O27" s="122"/>
      <c r="P27" s="37"/>
    </row>
    <row r="28" spans="1:16" s="113" customFormat="1" ht="60" customHeight="1" x14ac:dyDescent="0.2">
      <c r="A28" s="40" t="s">
        <v>0</v>
      </c>
      <c r="B28" s="171" t="s">
        <v>462</v>
      </c>
      <c r="C28" s="40" t="s">
        <v>1</v>
      </c>
      <c r="D28" s="40" t="s">
        <v>2</v>
      </c>
      <c r="E28" s="172" t="s">
        <v>3</v>
      </c>
      <c r="F28" s="172" t="s">
        <v>162</v>
      </c>
      <c r="G28" s="173" t="s">
        <v>479</v>
      </c>
      <c r="H28" s="172" t="s">
        <v>569</v>
      </c>
      <c r="I28" s="174" t="s">
        <v>480</v>
      </c>
      <c r="J28" s="172" t="s">
        <v>570</v>
      </c>
      <c r="K28" s="175" t="s">
        <v>481</v>
      </c>
      <c r="L28" s="172" t="s">
        <v>4</v>
      </c>
      <c r="M28" s="172" t="s">
        <v>571</v>
      </c>
      <c r="N28" s="174" t="s">
        <v>482</v>
      </c>
      <c r="O28" s="172" t="s">
        <v>572</v>
      </c>
      <c r="P28" s="164" t="s">
        <v>483</v>
      </c>
    </row>
    <row r="29" spans="1:16" ht="15.75" customHeight="1" x14ac:dyDescent="0.2">
      <c r="A29" s="129" t="s">
        <v>6</v>
      </c>
      <c r="B29" s="146" t="s">
        <v>457</v>
      </c>
      <c r="C29" s="123" t="s">
        <v>457</v>
      </c>
      <c r="D29" s="123" t="s">
        <v>457</v>
      </c>
      <c r="E29" s="72">
        <f>E14+schedulebunfunded[[#Totals],[Program
Costs]]</f>
        <v>1295116045</v>
      </c>
      <c r="F29" s="72">
        <f>F14+schedulebunfunded[[#Totals],[Less: Net Payments and Offsets]]</f>
        <v>364729589</v>
      </c>
      <c r="G29" s="146" t="s">
        <v>457</v>
      </c>
      <c r="H29" s="72">
        <f>H14+schedulebunfunded[[#Totals],[Accounts Payable
Balance 3]]</f>
        <v>930386456</v>
      </c>
      <c r="I29" s="146" t="s">
        <v>457</v>
      </c>
      <c r="J29" s="72">
        <f>J14+schedulebunfunded[[#Totals],[Established
Accounts 
Receivable 4]]</f>
        <v>55220578</v>
      </c>
      <c r="K29" s="146" t="s">
        <v>457</v>
      </c>
      <c r="L29" s="72">
        <f>L14+schedulebunfunded[[#Totals],[Less: Recovered
Amount]]</f>
        <v>48865692</v>
      </c>
      <c r="M29" s="72">
        <f>M14+schedulebunfunded[[#Totals],[Accounts Receivable
Balance 5]]</f>
        <v>6354886</v>
      </c>
      <c r="N29" s="146" t="s">
        <v>457</v>
      </c>
      <c r="O29" s="72">
        <f>O14+schedulebunfunded[[#Totals],[Net
Balance 6]]</f>
        <v>924031570</v>
      </c>
      <c r="P29" s="146" t="s">
        <v>457</v>
      </c>
    </row>
    <row r="30" spans="1:16" ht="15.75" customHeight="1" x14ac:dyDescent="0.2">
      <c r="A30" s="129" t="s">
        <v>9</v>
      </c>
      <c r="B30" s="146" t="s">
        <v>457</v>
      </c>
      <c r="C30" s="123" t="s">
        <v>457</v>
      </c>
      <c r="D30" s="123" t="s">
        <v>457</v>
      </c>
      <c r="E30" s="73">
        <f>E15</f>
        <v>6197327151</v>
      </c>
      <c r="F30" s="73">
        <f>F15</f>
        <v>5358761091</v>
      </c>
      <c r="G30" s="146" t="s">
        <v>457</v>
      </c>
      <c r="H30" s="72">
        <f>H15</f>
        <v>838566060</v>
      </c>
      <c r="I30" s="146" t="s">
        <v>457</v>
      </c>
      <c r="J30" s="72">
        <f>J15</f>
        <v>195262044</v>
      </c>
      <c r="K30" s="146" t="s">
        <v>457</v>
      </c>
      <c r="L30" s="72">
        <f>L15</f>
        <v>143556844</v>
      </c>
      <c r="M30" s="72">
        <f>M15</f>
        <v>51705200</v>
      </c>
      <c r="N30" s="146" t="s">
        <v>457</v>
      </c>
      <c r="O30" s="72">
        <f>O15</f>
        <v>786860860</v>
      </c>
      <c r="P30" s="146" t="s">
        <v>457</v>
      </c>
    </row>
    <row r="31" spans="1:16" ht="15.75" customHeight="1" x14ac:dyDescent="0.2">
      <c r="A31" s="129" t="s">
        <v>10</v>
      </c>
      <c r="B31" s="146" t="s">
        <v>457</v>
      </c>
      <c r="C31" s="123" t="s">
        <v>457</v>
      </c>
      <c r="D31" s="123" t="s">
        <v>457</v>
      </c>
      <c r="E31" s="73">
        <f>E16</f>
        <v>162623509</v>
      </c>
      <c r="F31" s="73">
        <f>F16</f>
        <v>151913713</v>
      </c>
      <c r="G31" s="146" t="s">
        <v>457</v>
      </c>
      <c r="H31" s="72">
        <f>H16</f>
        <v>10709796</v>
      </c>
      <c r="I31" s="146" t="s">
        <v>457</v>
      </c>
      <c r="J31" s="72">
        <f>J16</f>
        <v>24929129</v>
      </c>
      <c r="K31" s="146" t="s">
        <v>457</v>
      </c>
      <c r="L31" s="72">
        <f>L16</f>
        <v>12137711</v>
      </c>
      <c r="M31" s="72">
        <f>M16</f>
        <v>12791418</v>
      </c>
      <c r="N31" s="146" t="s">
        <v>457</v>
      </c>
      <c r="O31" s="72">
        <f>O16</f>
        <v>-2081622</v>
      </c>
      <c r="P31" s="146" t="s">
        <v>457</v>
      </c>
    </row>
    <row r="32" spans="1:16" ht="15.75" customHeight="1" x14ac:dyDescent="0.2">
      <c r="A32" s="48" t="s">
        <v>14</v>
      </c>
      <c r="B32" s="75" t="s">
        <v>457</v>
      </c>
      <c r="C32" s="75" t="s">
        <v>457</v>
      </c>
      <c r="D32" s="75" t="s">
        <v>457</v>
      </c>
      <c r="E32" s="76">
        <f>SUBTOTAL(109,schedulebgrandtotal[Program
Costs])</f>
        <v>7655066705</v>
      </c>
      <c r="F32" s="76">
        <f>SUBTOTAL(109,schedulebgrandtotal[Less: Net Payments and Offsets])</f>
        <v>5875404393</v>
      </c>
      <c r="G32" s="75" t="s">
        <v>457</v>
      </c>
      <c r="H32" s="77">
        <f>SUBTOTAL(109,schedulebgrandtotal[Accounts Payable
Balance 3])</f>
        <v>1779662312</v>
      </c>
      <c r="I32" s="75" t="s">
        <v>457</v>
      </c>
      <c r="J32" s="77">
        <f>SUBTOTAL(109,schedulebgrandtotal[Established
Accounts 
Receivable 4])</f>
        <v>275411751</v>
      </c>
      <c r="K32" s="75" t="s">
        <v>457</v>
      </c>
      <c r="L32" s="77">
        <f>SUBTOTAL(109,schedulebgrandtotal[Less: Recovered
Amount])</f>
        <v>204560247</v>
      </c>
      <c r="M32" s="77">
        <f>SUBTOTAL(109,schedulebgrandtotal[Accounts Receivable
Balance 5])</f>
        <v>70851504</v>
      </c>
      <c r="N32" s="75" t="s">
        <v>457</v>
      </c>
      <c r="O32" s="77">
        <f>SUBTOTAL(109,schedulebgrandtotal[Net
Balance 6])</f>
        <v>1708810808</v>
      </c>
      <c r="P32" s="75" t="s">
        <v>457</v>
      </c>
    </row>
    <row r="33" spans="1:16" ht="17.25" customHeight="1" x14ac:dyDescent="0.2">
      <c r="A33" s="37" t="s">
        <v>575</v>
      </c>
      <c r="B33" s="129"/>
      <c r="C33" s="130"/>
      <c r="D33" s="103"/>
      <c r="E33" s="72"/>
      <c r="F33" s="72"/>
      <c r="G33" s="182"/>
      <c r="H33" s="72"/>
      <c r="I33" s="72"/>
      <c r="J33" s="72"/>
      <c r="K33" s="72"/>
      <c r="L33" s="72"/>
      <c r="M33" s="72"/>
      <c r="N33" s="72"/>
      <c r="O33" s="72"/>
      <c r="P33" s="183"/>
    </row>
    <row r="34" spans="1:16" ht="17.25" customHeight="1" x14ac:dyDescent="0.2">
      <c r="A34" s="184" t="s">
        <v>576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</row>
    <row r="35" spans="1:16" ht="17.25" customHeight="1" x14ac:dyDescent="0.2">
      <c r="A35" s="186" t="s">
        <v>577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</row>
    <row r="36" spans="1:16" ht="18" x14ac:dyDescent="0.2">
      <c r="A36" s="186" t="s">
        <v>578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</row>
    <row r="37" spans="1:16" ht="18" x14ac:dyDescent="0.2">
      <c r="A37" s="186" t="s">
        <v>579</v>
      </c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</row>
    <row r="38" spans="1:16" ht="18" x14ac:dyDescent="0.2">
      <c r="A38" s="187" t="s">
        <v>580</v>
      </c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</row>
    <row r="39" spans="1:16" ht="18" x14ac:dyDescent="0.2">
      <c r="A39" s="186" t="s">
        <v>581</v>
      </c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</row>
    <row r="40" spans="1:16" ht="18" x14ac:dyDescent="0.2">
      <c r="A40" s="187" t="s">
        <v>582</v>
      </c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</row>
    <row r="41" spans="1:16" ht="18" x14ac:dyDescent="0.2">
      <c r="A41" s="187" t="s">
        <v>583</v>
      </c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</row>
    <row r="42" spans="1:16" x14ac:dyDescent="0.2">
      <c r="A42" s="129"/>
      <c r="B42" s="129"/>
      <c r="C42" s="129"/>
      <c r="D42" s="129"/>
      <c r="E42" s="72"/>
      <c r="F42" s="129"/>
      <c r="G42" s="129"/>
      <c r="H42" s="129"/>
      <c r="I42" s="129"/>
      <c r="J42" s="129"/>
      <c r="K42" s="129"/>
      <c r="L42" s="129"/>
      <c r="M42" s="129"/>
      <c r="N42" s="129"/>
      <c r="O42" s="129"/>
    </row>
    <row r="43" spans="1:16" x14ac:dyDescent="0.2">
      <c r="A43" s="189"/>
      <c r="B43" s="129"/>
      <c r="C43" s="190"/>
      <c r="D43" s="190"/>
      <c r="E43" s="73"/>
      <c r="F43" s="73"/>
      <c r="G43" s="73"/>
      <c r="H43" s="73"/>
      <c r="I43" s="73"/>
      <c r="J43" s="73"/>
      <c r="K43" s="73"/>
      <c r="L43" s="73"/>
      <c r="M43" s="73"/>
      <c r="N43" s="73"/>
    </row>
    <row r="44" spans="1:16" x14ac:dyDescent="0.2">
      <c r="A44" s="189"/>
      <c r="B44" s="129"/>
      <c r="C44" s="190"/>
      <c r="D44" s="190"/>
      <c r="E44" s="73"/>
      <c r="F44" s="73"/>
      <c r="G44" s="73"/>
      <c r="H44" s="73"/>
      <c r="I44" s="73"/>
      <c r="J44" s="73"/>
      <c r="K44" s="73"/>
      <c r="L44" s="73"/>
      <c r="M44" s="73"/>
      <c r="N44" s="73"/>
    </row>
    <row r="45" spans="1:16" x14ac:dyDescent="0.2">
      <c r="A45" s="189"/>
      <c r="B45" s="129"/>
      <c r="C45" s="190"/>
      <c r="D45" s="190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</row>
    <row r="46" spans="1:16" x14ac:dyDescent="0.2">
      <c r="A46" s="189"/>
      <c r="B46" s="129"/>
      <c r="C46" s="190"/>
      <c r="D46" s="190"/>
      <c r="E46" s="73"/>
      <c r="F46" s="73"/>
      <c r="G46" s="73"/>
      <c r="H46" s="73"/>
      <c r="I46" s="73"/>
      <c r="J46" s="73"/>
      <c r="K46" s="73"/>
      <c r="L46" s="73"/>
      <c r="M46" s="73"/>
      <c r="N46" s="73"/>
    </row>
    <row r="47" spans="1:16" x14ac:dyDescent="0.2">
      <c r="A47" s="189"/>
      <c r="B47" s="129"/>
      <c r="C47" s="190"/>
      <c r="D47" s="190"/>
      <c r="E47" s="73"/>
      <c r="F47" s="73"/>
      <c r="G47" s="73"/>
      <c r="H47" s="73"/>
      <c r="I47" s="73"/>
      <c r="J47" s="73"/>
      <c r="K47" s="73"/>
      <c r="L47" s="73"/>
      <c r="M47" s="73"/>
      <c r="N47" s="73"/>
    </row>
    <row r="48" spans="1:16" x14ac:dyDescent="0.2">
      <c r="A48" s="189"/>
      <c r="B48" s="129"/>
      <c r="C48" s="190"/>
      <c r="D48" s="190"/>
      <c r="E48" s="73"/>
      <c r="F48" s="73"/>
      <c r="G48" s="73"/>
      <c r="H48" s="73"/>
      <c r="I48" s="73"/>
      <c r="J48" s="73"/>
      <c r="K48" s="73"/>
      <c r="L48" s="73"/>
      <c r="M48" s="73"/>
      <c r="N48" s="73"/>
    </row>
    <row r="49" spans="1:14" x14ac:dyDescent="0.2">
      <c r="A49" s="189"/>
      <c r="B49" s="129"/>
      <c r="C49" s="190"/>
      <c r="D49" s="190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1:14" x14ac:dyDescent="0.2">
      <c r="A50" s="189"/>
      <c r="B50" s="129"/>
      <c r="C50" s="190"/>
      <c r="D50" s="190"/>
      <c r="E50" s="73"/>
      <c r="F50" s="73"/>
      <c r="G50" s="73"/>
      <c r="H50" s="73"/>
      <c r="I50" s="73"/>
      <c r="J50" s="73"/>
      <c r="K50" s="73"/>
      <c r="L50" s="73"/>
      <c r="M50" s="73"/>
      <c r="N50" s="73"/>
    </row>
    <row r="51" spans="1:14" x14ac:dyDescent="0.2">
      <c r="A51" s="189"/>
      <c r="B51" s="129"/>
      <c r="C51" s="190"/>
      <c r="D51" s="190"/>
      <c r="E51" s="73"/>
      <c r="F51" s="73"/>
      <c r="G51" s="73"/>
      <c r="H51" s="73"/>
      <c r="I51" s="73"/>
      <c r="J51" s="73"/>
      <c r="K51" s="73"/>
      <c r="L51" s="73"/>
      <c r="M51" s="73"/>
      <c r="N51" s="73"/>
    </row>
    <row r="52" spans="1:14" x14ac:dyDescent="0.2">
      <c r="A52" s="189"/>
      <c r="B52" s="129"/>
      <c r="C52" s="190"/>
      <c r="D52" s="190"/>
      <c r="E52" s="73"/>
      <c r="F52" s="73"/>
      <c r="G52" s="73"/>
      <c r="H52" s="73"/>
      <c r="I52" s="73"/>
      <c r="J52" s="73"/>
      <c r="K52" s="73"/>
      <c r="L52" s="73"/>
      <c r="M52" s="73"/>
      <c r="N52" s="73"/>
    </row>
    <row r="53" spans="1:14" x14ac:dyDescent="0.2">
      <c r="A53" s="189"/>
      <c r="B53" s="129"/>
      <c r="C53" s="190"/>
      <c r="D53" s="190"/>
      <c r="E53" s="73"/>
      <c r="F53" s="73"/>
      <c r="G53" s="73"/>
      <c r="H53" s="73"/>
      <c r="I53" s="73"/>
      <c r="J53" s="73"/>
      <c r="K53" s="73"/>
      <c r="L53" s="73"/>
      <c r="M53" s="73"/>
      <c r="N53" s="73"/>
    </row>
    <row r="54" spans="1:14" x14ac:dyDescent="0.2">
      <c r="A54" s="189"/>
      <c r="B54" s="129"/>
      <c r="C54" s="190"/>
      <c r="D54" s="190"/>
      <c r="E54" s="73"/>
      <c r="F54" s="73"/>
      <c r="G54" s="73"/>
      <c r="H54" s="73"/>
      <c r="I54" s="73"/>
      <c r="J54" s="73"/>
      <c r="K54" s="73"/>
      <c r="L54" s="73"/>
      <c r="M54" s="73"/>
      <c r="N54" s="73"/>
    </row>
    <row r="55" spans="1:14" x14ac:dyDescent="0.2">
      <c r="A55" s="189"/>
      <c r="B55" s="129"/>
      <c r="C55" s="190"/>
      <c r="D55" s="190"/>
      <c r="E55" s="73"/>
      <c r="F55" s="73"/>
      <c r="G55" s="73"/>
      <c r="H55" s="73"/>
      <c r="I55" s="73"/>
      <c r="J55" s="73"/>
      <c r="K55" s="73"/>
      <c r="L55" s="73"/>
      <c r="M55" s="73"/>
      <c r="N55" s="73"/>
    </row>
    <row r="56" spans="1:14" x14ac:dyDescent="0.2">
      <c r="A56" s="189"/>
      <c r="B56" s="129"/>
      <c r="C56" s="190"/>
      <c r="D56" s="190"/>
      <c r="E56" s="73"/>
      <c r="F56" s="73"/>
      <c r="G56" s="73"/>
      <c r="H56" s="73"/>
      <c r="I56" s="73"/>
      <c r="J56" s="73"/>
      <c r="K56" s="73"/>
      <c r="L56" s="73"/>
      <c r="M56" s="73"/>
      <c r="N56" s="73"/>
    </row>
    <row r="57" spans="1:14" x14ac:dyDescent="0.2">
      <c r="A57" s="189"/>
      <c r="B57" s="129"/>
      <c r="C57" s="190"/>
      <c r="D57" s="190"/>
      <c r="E57" s="73"/>
      <c r="F57" s="73"/>
      <c r="G57" s="73"/>
      <c r="H57" s="73"/>
      <c r="I57" s="73"/>
      <c r="J57" s="73"/>
      <c r="K57" s="73"/>
      <c r="L57" s="73"/>
      <c r="M57" s="73"/>
      <c r="N57" s="73"/>
    </row>
    <row r="58" spans="1:14" x14ac:dyDescent="0.2">
      <c r="A58" s="189"/>
      <c r="B58" s="129"/>
      <c r="C58" s="190"/>
      <c r="D58" s="190"/>
      <c r="E58" s="73"/>
      <c r="F58" s="73"/>
      <c r="G58" s="73"/>
      <c r="H58" s="73"/>
      <c r="I58" s="73"/>
      <c r="J58" s="73"/>
      <c r="K58" s="73"/>
      <c r="L58" s="73"/>
      <c r="M58" s="73"/>
      <c r="N58" s="73"/>
    </row>
    <row r="59" spans="1:14" x14ac:dyDescent="0.2">
      <c r="A59" s="189"/>
      <c r="B59" s="129"/>
      <c r="C59" s="190"/>
      <c r="D59" s="190"/>
      <c r="E59" s="73"/>
      <c r="F59" s="73"/>
      <c r="G59" s="73"/>
      <c r="H59" s="73"/>
      <c r="I59" s="73"/>
      <c r="J59" s="73"/>
      <c r="K59" s="73"/>
      <c r="L59" s="73"/>
      <c r="M59" s="73"/>
      <c r="N59" s="73"/>
    </row>
    <row r="60" spans="1:14" x14ac:dyDescent="0.2">
      <c r="A60" s="189"/>
      <c r="B60" s="129"/>
      <c r="C60" s="190"/>
      <c r="D60" s="190"/>
      <c r="E60" s="73"/>
      <c r="F60" s="73"/>
      <c r="G60" s="73"/>
      <c r="H60" s="73"/>
      <c r="I60" s="73"/>
      <c r="J60" s="73"/>
      <c r="K60" s="73"/>
      <c r="L60" s="73"/>
      <c r="M60" s="73"/>
      <c r="N60" s="73"/>
    </row>
    <row r="61" spans="1:14" x14ac:dyDescent="0.2">
      <c r="A61" s="189"/>
      <c r="B61" s="129"/>
      <c r="C61" s="190"/>
      <c r="D61" s="190"/>
      <c r="E61" s="73"/>
      <c r="F61" s="73"/>
      <c r="G61" s="73"/>
      <c r="H61" s="73"/>
      <c r="I61" s="73"/>
      <c r="J61" s="73"/>
      <c r="K61" s="73"/>
      <c r="L61" s="73"/>
      <c r="M61" s="73"/>
      <c r="N61" s="73"/>
    </row>
    <row r="62" spans="1:14" x14ac:dyDescent="0.2">
      <c r="A62" s="189"/>
      <c r="B62" s="129"/>
      <c r="C62" s="190"/>
      <c r="D62" s="190"/>
      <c r="E62" s="73"/>
      <c r="F62" s="73"/>
      <c r="G62" s="73"/>
      <c r="H62" s="73"/>
      <c r="I62" s="73"/>
      <c r="J62" s="73"/>
      <c r="K62" s="73"/>
      <c r="L62" s="73"/>
      <c r="M62" s="73"/>
      <c r="N62" s="73"/>
    </row>
    <row r="63" spans="1:14" x14ac:dyDescent="0.2">
      <c r="A63" s="189"/>
      <c r="B63" s="129"/>
      <c r="C63" s="190"/>
      <c r="D63" s="190"/>
      <c r="E63" s="73"/>
      <c r="F63" s="73"/>
      <c r="G63" s="73"/>
      <c r="H63" s="73"/>
      <c r="I63" s="73"/>
      <c r="J63" s="73"/>
      <c r="K63" s="73"/>
      <c r="L63" s="73"/>
      <c r="M63" s="73"/>
      <c r="N63" s="73"/>
    </row>
    <row r="64" spans="1:14" x14ac:dyDescent="0.2">
      <c r="A64" s="189"/>
      <c r="B64" s="129"/>
      <c r="C64" s="190"/>
      <c r="D64" s="190"/>
      <c r="E64" s="73"/>
      <c r="F64" s="73"/>
      <c r="G64" s="73"/>
      <c r="H64" s="73"/>
      <c r="I64" s="73"/>
      <c r="J64" s="73"/>
      <c r="K64" s="73"/>
      <c r="L64" s="73"/>
      <c r="M64" s="73"/>
      <c r="N64" s="73"/>
    </row>
    <row r="65" spans="1:14" x14ac:dyDescent="0.2">
      <c r="A65" s="189"/>
      <c r="B65" s="129"/>
      <c r="C65" s="190"/>
      <c r="D65" s="190"/>
      <c r="E65" s="73"/>
      <c r="F65" s="73"/>
      <c r="G65" s="73"/>
      <c r="H65" s="73"/>
      <c r="I65" s="73"/>
      <c r="J65" s="73"/>
      <c r="K65" s="73"/>
      <c r="L65" s="73"/>
      <c r="M65" s="73"/>
      <c r="N65" s="73"/>
    </row>
    <row r="66" spans="1:14" x14ac:dyDescent="0.2">
      <c r="A66" s="189"/>
      <c r="B66" s="129"/>
      <c r="C66" s="190"/>
      <c r="D66" s="190"/>
      <c r="E66" s="73"/>
      <c r="F66" s="73"/>
      <c r="G66" s="73"/>
      <c r="H66" s="73"/>
      <c r="I66" s="73"/>
      <c r="J66" s="73"/>
      <c r="K66" s="73"/>
      <c r="L66" s="73"/>
      <c r="M66" s="73"/>
      <c r="N66" s="73"/>
    </row>
    <row r="67" spans="1:14" x14ac:dyDescent="0.2">
      <c r="A67" s="189"/>
      <c r="B67" s="129"/>
      <c r="C67" s="190"/>
      <c r="D67" s="190"/>
      <c r="E67" s="73"/>
      <c r="F67" s="73"/>
      <c r="G67" s="73"/>
      <c r="H67" s="73"/>
      <c r="I67" s="73"/>
      <c r="J67" s="73"/>
      <c r="K67" s="73"/>
      <c r="L67" s="73"/>
      <c r="M67" s="73"/>
      <c r="N67" s="73"/>
    </row>
    <row r="68" spans="1:14" x14ac:dyDescent="0.2">
      <c r="A68" s="189"/>
      <c r="B68" s="129"/>
      <c r="C68" s="190"/>
      <c r="D68" s="190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69" spans="1:14" x14ac:dyDescent="0.2">
      <c r="A69" s="189"/>
      <c r="B69" s="129"/>
      <c r="C69" s="190"/>
      <c r="D69" s="190"/>
      <c r="E69" s="73"/>
      <c r="F69" s="73"/>
      <c r="G69" s="73"/>
      <c r="H69" s="73"/>
      <c r="I69" s="73"/>
      <c r="J69" s="73"/>
      <c r="K69" s="73"/>
      <c r="L69" s="73"/>
      <c r="M69" s="73"/>
      <c r="N69" s="73"/>
    </row>
    <row r="70" spans="1:14" x14ac:dyDescent="0.2">
      <c r="A70" s="189"/>
      <c r="B70" s="129"/>
      <c r="C70" s="190"/>
      <c r="D70" s="190"/>
      <c r="E70" s="73"/>
      <c r="F70" s="73"/>
      <c r="G70" s="73"/>
      <c r="H70" s="73"/>
      <c r="I70" s="73"/>
      <c r="J70" s="73"/>
      <c r="K70" s="73"/>
      <c r="L70" s="73"/>
      <c r="M70" s="73"/>
      <c r="N70" s="73"/>
    </row>
    <row r="71" spans="1:14" x14ac:dyDescent="0.2">
      <c r="A71" s="189"/>
      <c r="B71" s="129"/>
      <c r="C71" s="190"/>
      <c r="D71" s="190"/>
      <c r="E71" s="73"/>
      <c r="F71" s="73"/>
      <c r="G71" s="73"/>
      <c r="H71" s="73"/>
      <c r="I71" s="73"/>
      <c r="J71" s="73"/>
      <c r="K71" s="73"/>
      <c r="L71" s="73"/>
      <c r="M71" s="73"/>
      <c r="N71" s="73"/>
    </row>
    <row r="72" spans="1:14" x14ac:dyDescent="0.2">
      <c r="A72" s="189"/>
      <c r="B72" s="129"/>
      <c r="C72" s="190"/>
      <c r="D72" s="190"/>
      <c r="E72" s="73"/>
      <c r="F72" s="73"/>
      <c r="G72" s="73"/>
      <c r="H72" s="73"/>
      <c r="I72" s="73"/>
      <c r="J72" s="73"/>
      <c r="K72" s="73"/>
      <c r="L72" s="73"/>
      <c r="M72" s="73"/>
      <c r="N72" s="73"/>
    </row>
    <row r="73" spans="1:14" x14ac:dyDescent="0.2">
      <c r="A73" s="189"/>
      <c r="B73" s="129"/>
      <c r="C73" s="190"/>
      <c r="D73" s="190"/>
      <c r="E73" s="73"/>
      <c r="F73" s="73"/>
      <c r="G73" s="73"/>
      <c r="H73" s="73"/>
      <c r="I73" s="73"/>
      <c r="J73" s="73"/>
      <c r="K73" s="73"/>
      <c r="L73" s="73"/>
      <c r="M73" s="73"/>
      <c r="N73" s="73"/>
    </row>
    <row r="74" spans="1:14" x14ac:dyDescent="0.2">
      <c r="A74" s="189"/>
      <c r="B74" s="129"/>
      <c r="C74" s="190"/>
      <c r="D74" s="190"/>
      <c r="E74" s="73"/>
      <c r="F74" s="73"/>
      <c r="G74" s="73"/>
      <c r="H74" s="73"/>
      <c r="I74" s="73"/>
      <c r="J74" s="73"/>
      <c r="K74" s="73"/>
      <c r="L74" s="73"/>
      <c r="M74" s="73"/>
      <c r="N74" s="73"/>
    </row>
    <row r="75" spans="1:14" x14ac:dyDescent="0.2">
      <c r="A75" s="189"/>
      <c r="B75" s="129"/>
      <c r="C75" s="190"/>
      <c r="D75" s="190"/>
      <c r="E75" s="73"/>
      <c r="F75" s="73"/>
      <c r="G75" s="73"/>
      <c r="H75" s="73"/>
      <c r="I75" s="73"/>
      <c r="J75" s="73"/>
      <c r="K75" s="73"/>
      <c r="L75" s="73"/>
      <c r="M75" s="73"/>
      <c r="N75" s="73"/>
    </row>
    <row r="76" spans="1:14" x14ac:dyDescent="0.2">
      <c r="A76" s="189"/>
      <c r="B76" s="129"/>
      <c r="C76" s="190"/>
      <c r="D76" s="190"/>
      <c r="E76" s="73"/>
      <c r="F76" s="73"/>
      <c r="G76" s="73"/>
      <c r="H76" s="73"/>
      <c r="I76" s="73"/>
      <c r="J76" s="73"/>
      <c r="K76" s="73"/>
      <c r="L76" s="73"/>
      <c r="M76" s="73"/>
      <c r="N76" s="73"/>
    </row>
    <row r="77" spans="1:14" x14ac:dyDescent="0.2">
      <c r="A77" s="189"/>
      <c r="B77" s="129"/>
      <c r="C77" s="190"/>
      <c r="D77" s="190"/>
      <c r="E77" s="73"/>
      <c r="F77" s="73"/>
      <c r="G77" s="73"/>
      <c r="H77" s="73"/>
      <c r="I77" s="73"/>
      <c r="J77" s="73"/>
      <c r="K77" s="73"/>
      <c r="L77" s="73"/>
      <c r="M77" s="73"/>
      <c r="N77" s="73"/>
    </row>
    <row r="78" spans="1:14" x14ac:dyDescent="0.2">
      <c r="A78" s="189"/>
      <c r="B78" s="129"/>
      <c r="C78" s="190"/>
      <c r="D78" s="190"/>
      <c r="E78" s="73"/>
      <c r="F78" s="73"/>
      <c r="G78" s="73"/>
      <c r="H78" s="73"/>
      <c r="I78" s="73"/>
      <c r="J78" s="73"/>
      <c r="K78" s="73"/>
      <c r="L78" s="73"/>
      <c r="M78" s="73"/>
      <c r="N78" s="73"/>
    </row>
    <row r="79" spans="1:14" x14ac:dyDescent="0.2">
      <c r="A79" s="189"/>
      <c r="B79" s="129"/>
      <c r="C79" s="190"/>
      <c r="D79" s="190"/>
      <c r="E79" s="73"/>
      <c r="F79" s="73"/>
      <c r="G79" s="73"/>
      <c r="H79" s="73"/>
      <c r="I79" s="73"/>
      <c r="J79" s="73"/>
      <c r="K79" s="73"/>
      <c r="L79" s="73"/>
      <c r="M79" s="73"/>
      <c r="N79" s="73"/>
    </row>
    <row r="80" spans="1:14" x14ac:dyDescent="0.2">
      <c r="A80" s="189"/>
      <c r="B80" s="129"/>
      <c r="C80" s="190"/>
      <c r="D80" s="190"/>
      <c r="E80" s="73"/>
      <c r="F80" s="73"/>
      <c r="G80" s="73"/>
      <c r="H80" s="73"/>
      <c r="I80" s="73"/>
      <c r="J80" s="73"/>
      <c r="K80" s="73"/>
      <c r="L80" s="73"/>
      <c r="M80" s="73"/>
      <c r="N80" s="73"/>
    </row>
    <row r="81" spans="1:14" x14ac:dyDescent="0.2">
      <c r="A81" s="189"/>
      <c r="B81" s="129"/>
      <c r="C81" s="190"/>
      <c r="D81" s="190"/>
      <c r="E81" s="73"/>
      <c r="F81" s="73"/>
      <c r="G81" s="73"/>
      <c r="H81" s="73"/>
      <c r="I81" s="73"/>
      <c r="J81" s="73"/>
      <c r="K81" s="73"/>
      <c r="L81" s="73"/>
      <c r="M81" s="73"/>
      <c r="N81" s="73"/>
    </row>
    <row r="82" spans="1:14" x14ac:dyDescent="0.2">
      <c r="A82" s="189"/>
      <c r="B82" s="129"/>
      <c r="C82" s="190"/>
      <c r="D82" s="190"/>
      <c r="E82" s="73"/>
      <c r="F82" s="73"/>
      <c r="G82" s="73"/>
      <c r="H82" s="73"/>
      <c r="I82" s="73"/>
      <c r="J82" s="73"/>
      <c r="K82" s="73"/>
      <c r="L82" s="73"/>
      <c r="M82" s="73"/>
      <c r="N82" s="73"/>
    </row>
    <row r="83" spans="1:14" x14ac:dyDescent="0.2">
      <c r="A83" s="189"/>
      <c r="B83" s="129"/>
      <c r="C83" s="190"/>
      <c r="D83" s="190"/>
      <c r="E83" s="73"/>
      <c r="F83" s="73"/>
      <c r="G83" s="73"/>
      <c r="H83" s="73"/>
      <c r="I83" s="73"/>
      <c r="J83" s="73"/>
      <c r="K83" s="73"/>
      <c r="L83" s="73"/>
      <c r="M83" s="73"/>
      <c r="N83" s="73"/>
    </row>
    <row r="84" spans="1:14" x14ac:dyDescent="0.2">
      <c r="A84" s="189"/>
      <c r="B84" s="129"/>
      <c r="C84" s="190"/>
      <c r="D84" s="190"/>
      <c r="E84" s="73"/>
      <c r="F84" s="73"/>
      <c r="G84" s="73"/>
      <c r="H84" s="73"/>
      <c r="I84" s="73"/>
      <c r="J84" s="73"/>
      <c r="K84" s="73"/>
      <c r="L84" s="73"/>
      <c r="M84" s="73"/>
      <c r="N84" s="73"/>
    </row>
    <row r="85" spans="1:14" x14ac:dyDescent="0.2">
      <c r="A85" s="189"/>
      <c r="B85" s="129"/>
      <c r="C85" s="190"/>
      <c r="D85" s="190"/>
      <c r="E85" s="73"/>
      <c r="F85" s="73"/>
      <c r="G85" s="73"/>
      <c r="H85" s="73"/>
      <c r="I85" s="73"/>
      <c r="J85" s="73"/>
      <c r="K85" s="73"/>
      <c r="L85" s="73"/>
      <c r="M85" s="73"/>
      <c r="N85" s="73"/>
    </row>
    <row r="86" spans="1:14" x14ac:dyDescent="0.2">
      <c r="A86" s="189"/>
      <c r="B86" s="129"/>
      <c r="C86" s="190"/>
      <c r="D86" s="190"/>
      <c r="E86" s="73"/>
      <c r="F86" s="73"/>
      <c r="G86" s="73"/>
      <c r="H86" s="73"/>
      <c r="I86" s="73"/>
      <c r="J86" s="73"/>
      <c r="K86" s="73"/>
      <c r="L86" s="73"/>
      <c r="M86" s="73"/>
      <c r="N86" s="73"/>
    </row>
    <row r="87" spans="1:14" x14ac:dyDescent="0.2">
      <c r="A87" s="189"/>
      <c r="B87" s="129"/>
      <c r="C87" s="190"/>
      <c r="D87" s="190"/>
      <c r="E87" s="73"/>
      <c r="F87" s="73"/>
      <c r="G87" s="73"/>
      <c r="H87" s="73"/>
      <c r="I87" s="73"/>
      <c r="J87" s="73"/>
      <c r="K87" s="73"/>
      <c r="L87" s="73"/>
      <c r="M87" s="73"/>
      <c r="N87" s="73"/>
    </row>
    <row r="88" spans="1:14" x14ac:dyDescent="0.2">
      <c r="A88" s="189"/>
      <c r="B88" s="129"/>
      <c r="C88" s="190"/>
      <c r="D88" s="190"/>
      <c r="E88" s="73"/>
      <c r="F88" s="73"/>
      <c r="G88" s="73"/>
      <c r="H88" s="73"/>
      <c r="I88" s="73"/>
      <c r="J88" s="73"/>
      <c r="K88" s="73"/>
      <c r="L88" s="73"/>
      <c r="M88" s="73"/>
      <c r="N88" s="73"/>
    </row>
    <row r="89" spans="1:14" x14ac:dyDescent="0.2">
      <c r="A89" s="189"/>
      <c r="B89" s="129"/>
      <c r="C89" s="190"/>
      <c r="D89" s="190"/>
      <c r="E89" s="73"/>
      <c r="F89" s="73"/>
      <c r="G89" s="73"/>
      <c r="H89" s="73"/>
      <c r="I89" s="73"/>
      <c r="J89" s="73"/>
      <c r="K89" s="73"/>
      <c r="L89" s="73"/>
      <c r="M89" s="73"/>
      <c r="N89" s="73"/>
    </row>
    <row r="90" spans="1:14" x14ac:dyDescent="0.2">
      <c r="A90" s="189"/>
      <c r="B90" s="129"/>
      <c r="C90" s="190"/>
      <c r="D90" s="190"/>
      <c r="E90" s="73"/>
      <c r="F90" s="73"/>
      <c r="G90" s="73"/>
      <c r="H90" s="73"/>
      <c r="I90" s="73"/>
      <c r="J90" s="73"/>
      <c r="K90" s="73"/>
      <c r="L90" s="73"/>
      <c r="M90" s="73"/>
      <c r="N90" s="73"/>
    </row>
    <row r="91" spans="1:14" x14ac:dyDescent="0.2">
      <c r="A91" s="189"/>
      <c r="B91" s="129"/>
      <c r="C91" s="190"/>
      <c r="D91" s="190"/>
      <c r="E91" s="73"/>
      <c r="F91" s="73"/>
      <c r="G91" s="73"/>
      <c r="H91" s="73"/>
      <c r="I91" s="73"/>
      <c r="J91" s="73"/>
      <c r="K91" s="73"/>
      <c r="L91" s="73"/>
      <c r="M91" s="73"/>
      <c r="N91" s="73"/>
    </row>
    <row r="92" spans="1:14" x14ac:dyDescent="0.2">
      <c r="A92" s="189"/>
      <c r="B92" s="129"/>
      <c r="C92" s="190"/>
      <c r="D92" s="190"/>
      <c r="E92" s="73"/>
      <c r="F92" s="73"/>
      <c r="G92" s="73"/>
      <c r="H92" s="73"/>
      <c r="I92" s="73"/>
      <c r="J92" s="73"/>
      <c r="K92" s="73"/>
      <c r="L92" s="73"/>
      <c r="M92" s="73"/>
      <c r="N92" s="73"/>
    </row>
    <row r="93" spans="1:14" x14ac:dyDescent="0.2">
      <c r="A93" s="189"/>
      <c r="B93" s="129"/>
      <c r="C93" s="190"/>
      <c r="D93" s="190"/>
      <c r="E93" s="73"/>
      <c r="F93" s="73"/>
      <c r="G93" s="73"/>
      <c r="H93" s="73"/>
      <c r="I93" s="73"/>
      <c r="J93" s="73"/>
      <c r="K93" s="73"/>
      <c r="L93" s="73"/>
      <c r="M93" s="73"/>
      <c r="N93" s="73"/>
    </row>
    <row r="94" spans="1:14" x14ac:dyDescent="0.2">
      <c r="A94" s="189"/>
      <c r="B94" s="129"/>
      <c r="C94" s="190"/>
      <c r="D94" s="190"/>
      <c r="E94" s="73"/>
      <c r="F94" s="73"/>
      <c r="G94" s="73"/>
      <c r="H94" s="73"/>
      <c r="I94" s="73"/>
      <c r="J94" s="73"/>
      <c r="K94" s="73"/>
      <c r="L94" s="73"/>
      <c r="M94" s="73"/>
      <c r="N94" s="73"/>
    </row>
    <row r="95" spans="1:14" x14ac:dyDescent="0.2">
      <c r="A95" s="189"/>
      <c r="B95" s="129"/>
      <c r="C95" s="190"/>
      <c r="D95" s="190"/>
      <c r="E95" s="73"/>
      <c r="F95" s="73"/>
      <c r="G95" s="73"/>
      <c r="H95" s="73"/>
      <c r="I95" s="73"/>
      <c r="J95" s="73"/>
      <c r="K95" s="73"/>
      <c r="L95" s="73"/>
      <c r="M95" s="73"/>
      <c r="N95" s="73"/>
    </row>
    <row r="96" spans="1:14" x14ac:dyDescent="0.2">
      <c r="A96" s="189"/>
      <c r="B96" s="129"/>
      <c r="C96" s="190"/>
      <c r="D96" s="190"/>
      <c r="E96" s="73"/>
      <c r="F96" s="73"/>
      <c r="G96" s="73"/>
      <c r="H96" s="73"/>
      <c r="I96" s="73"/>
      <c r="J96" s="73"/>
      <c r="K96" s="73"/>
      <c r="L96" s="73"/>
      <c r="M96" s="73"/>
      <c r="N96" s="73"/>
    </row>
    <row r="97" spans="1:14" x14ac:dyDescent="0.2">
      <c r="A97" s="189"/>
      <c r="B97" s="129"/>
      <c r="C97" s="190"/>
      <c r="D97" s="190"/>
      <c r="E97" s="73"/>
      <c r="F97" s="73"/>
      <c r="G97" s="73"/>
      <c r="H97" s="73"/>
      <c r="I97" s="73"/>
      <c r="J97" s="73"/>
      <c r="K97" s="73"/>
      <c r="L97" s="73"/>
      <c r="M97" s="73"/>
      <c r="N97" s="73"/>
    </row>
    <row r="98" spans="1:14" x14ac:dyDescent="0.2">
      <c r="A98" s="189"/>
      <c r="B98" s="129"/>
      <c r="C98" s="190"/>
      <c r="D98" s="190"/>
      <c r="E98" s="73"/>
      <c r="F98" s="73"/>
      <c r="G98" s="73"/>
      <c r="H98" s="73"/>
      <c r="I98" s="73"/>
      <c r="J98" s="73"/>
      <c r="K98" s="73"/>
      <c r="L98" s="73"/>
      <c r="M98" s="73"/>
      <c r="N98" s="73"/>
    </row>
    <row r="99" spans="1:14" x14ac:dyDescent="0.2">
      <c r="A99" s="189"/>
      <c r="B99" s="129"/>
      <c r="C99" s="190"/>
      <c r="D99" s="190"/>
      <c r="E99" s="73"/>
      <c r="F99" s="73"/>
      <c r="G99" s="73"/>
      <c r="H99" s="73"/>
      <c r="I99" s="73"/>
      <c r="J99" s="73"/>
      <c r="K99" s="73"/>
      <c r="L99" s="73"/>
      <c r="M99" s="73"/>
      <c r="N99" s="73"/>
    </row>
    <row r="100" spans="1:14" x14ac:dyDescent="0.2">
      <c r="A100" s="189"/>
      <c r="B100" s="129"/>
      <c r="C100" s="190"/>
      <c r="D100" s="190"/>
      <c r="E100" s="73"/>
      <c r="F100" s="73"/>
      <c r="G100" s="73"/>
      <c r="H100" s="73"/>
      <c r="I100" s="73"/>
      <c r="J100" s="73"/>
      <c r="K100" s="73"/>
      <c r="L100" s="73"/>
      <c r="M100" s="73"/>
      <c r="N100" s="73"/>
    </row>
    <row r="101" spans="1:14" x14ac:dyDescent="0.2">
      <c r="A101" s="189"/>
      <c r="B101" s="129"/>
      <c r="C101" s="190"/>
      <c r="D101" s="190"/>
      <c r="E101" s="73"/>
      <c r="F101" s="73"/>
      <c r="G101" s="73"/>
      <c r="H101" s="73"/>
      <c r="I101" s="73"/>
      <c r="J101" s="73"/>
      <c r="K101" s="73"/>
      <c r="L101" s="73"/>
      <c r="M101" s="73"/>
      <c r="N101" s="73"/>
    </row>
    <row r="102" spans="1:14" x14ac:dyDescent="0.2">
      <c r="A102" s="189"/>
      <c r="B102" s="129"/>
      <c r="C102" s="190"/>
      <c r="D102" s="190"/>
      <c r="E102" s="73"/>
      <c r="F102" s="73"/>
      <c r="G102" s="73"/>
      <c r="H102" s="73"/>
      <c r="I102" s="73"/>
      <c r="J102" s="73"/>
      <c r="K102" s="73"/>
      <c r="L102" s="73"/>
      <c r="M102" s="73"/>
      <c r="N102" s="73"/>
    </row>
    <row r="103" spans="1:14" x14ac:dyDescent="0.2">
      <c r="A103" s="189"/>
      <c r="B103" s="129"/>
      <c r="C103" s="190"/>
      <c r="D103" s="190"/>
      <c r="E103" s="73"/>
      <c r="F103" s="73"/>
      <c r="G103" s="73"/>
      <c r="H103" s="73"/>
      <c r="I103" s="73"/>
      <c r="J103" s="73"/>
      <c r="K103" s="73"/>
      <c r="L103" s="73"/>
      <c r="M103" s="73"/>
      <c r="N103" s="73"/>
    </row>
    <row r="104" spans="1:14" x14ac:dyDescent="0.2">
      <c r="A104" s="189"/>
      <c r="B104" s="129"/>
      <c r="C104" s="190"/>
      <c r="D104" s="190"/>
      <c r="E104" s="73"/>
      <c r="F104" s="73"/>
      <c r="G104" s="73"/>
      <c r="H104" s="73"/>
      <c r="I104" s="73"/>
      <c r="J104" s="73"/>
      <c r="K104" s="73"/>
      <c r="L104" s="73"/>
      <c r="M104" s="73"/>
      <c r="N104" s="73"/>
    </row>
    <row r="105" spans="1:14" x14ac:dyDescent="0.2">
      <c r="A105" s="189"/>
      <c r="B105" s="129"/>
      <c r="C105" s="190"/>
      <c r="D105" s="190"/>
      <c r="E105" s="73"/>
      <c r="F105" s="73"/>
      <c r="G105" s="73"/>
      <c r="H105" s="73"/>
      <c r="I105" s="73"/>
      <c r="J105" s="73"/>
      <c r="K105" s="73"/>
      <c r="L105" s="73"/>
      <c r="M105" s="73"/>
      <c r="N105" s="73"/>
    </row>
    <row r="106" spans="1:14" x14ac:dyDescent="0.2">
      <c r="A106" s="189"/>
      <c r="B106" s="129"/>
      <c r="C106" s="190"/>
      <c r="D106" s="190"/>
      <c r="E106" s="73"/>
      <c r="F106" s="73"/>
      <c r="G106" s="73"/>
      <c r="H106" s="73"/>
      <c r="I106" s="73"/>
      <c r="J106" s="73"/>
      <c r="K106" s="73"/>
      <c r="L106" s="73"/>
      <c r="M106" s="73"/>
      <c r="N106" s="73"/>
    </row>
    <row r="107" spans="1:14" x14ac:dyDescent="0.2">
      <c r="A107" s="189"/>
      <c r="B107" s="129"/>
      <c r="C107" s="190"/>
      <c r="D107" s="190"/>
      <c r="E107" s="73"/>
      <c r="F107" s="73"/>
      <c r="G107" s="73"/>
      <c r="H107" s="73"/>
      <c r="I107" s="73"/>
      <c r="J107" s="73"/>
      <c r="K107" s="73"/>
      <c r="L107" s="73"/>
      <c r="M107" s="73"/>
      <c r="N107" s="73"/>
    </row>
    <row r="108" spans="1:14" x14ac:dyDescent="0.2">
      <c r="A108" s="189"/>
      <c r="B108" s="129"/>
      <c r="C108" s="190"/>
      <c r="D108" s="190"/>
      <c r="E108" s="73"/>
      <c r="F108" s="73"/>
      <c r="G108" s="73"/>
      <c r="H108" s="73"/>
      <c r="I108" s="73"/>
      <c r="J108" s="73"/>
      <c r="K108" s="73"/>
      <c r="L108" s="73"/>
      <c r="M108" s="73"/>
      <c r="N108" s="73"/>
    </row>
    <row r="109" spans="1:14" x14ac:dyDescent="0.2">
      <c r="A109" s="189"/>
      <c r="B109" s="129"/>
      <c r="C109" s="190"/>
      <c r="D109" s="190"/>
      <c r="E109" s="73"/>
      <c r="F109" s="73"/>
      <c r="G109" s="73"/>
      <c r="H109" s="73"/>
      <c r="I109" s="73"/>
      <c r="J109" s="73"/>
      <c r="K109" s="73"/>
      <c r="L109" s="73"/>
      <c r="M109" s="73"/>
      <c r="N109" s="73"/>
    </row>
    <row r="110" spans="1:14" x14ac:dyDescent="0.2">
      <c r="A110" s="189"/>
      <c r="B110" s="129"/>
      <c r="C110" s="190"/>
      <c r="D110" s="190"/>
      <c r="E110" s="73"/>
      <c r="F110" s="73"/>
      <c r="G110" s="73"/>
      <c r="H110" s="73"/>
      <c r="I110" s="73"/>
      <c r="J110" s="73"/>
      <c r="K110" s="73"/>
      <c r="L110" s="73"/>
      <c r="M110" s="73"/>
      <c r="N110" s="73"/>
    </row>
    <row r="111" spans="1:14" x14ac:dyDescent="0.2">
      <c r="A111" s="189"/>
      <c r="B111" s="129"/>
      <c r="C111" s="190"/>
      <c r="D111" s="190"/>
      <c r="E111" s="73"/>
      <c r="F111" s="73"/>
      <c r="G111" s="73"/>
      <c r="H111" s="73"/>
      <c r="I111" s="73"/>
      <c r="J111" s="73"/>
      <c r="K111" s="73"/>
      <c r="L111" s="73"/>
      <c r="M111" s="73"/>
      <c r="N111" s="73"/>
    </row>
    <row r="112" spans="1:14" x14ac:dyDescent="0.2">
      <c r="A112" s="189"/>
      <c r="B112" s="129"/>
      <c r="C112" s="190"/>
      <c r="D112" s="190"/>
      <c r="E112" s="73"/>
      <c r="F112" s="73"/>
      <c r="G112" s="73"/>
      <c r="H112" s="73"/>
      <c r="I112" s="73"/>
      <c r="J112" s="73"/>
      <c r="K112" s="73"/>
      <c r="L112" s="73"/>
      <c r="M112" s="73"/>
      <c r="N112" s="73"/>
    </row>
    <row r="113" spans="1:14" x14ac:dyDescent="0.2">
      <c r="A113" s="189"/>
      <c r="B113" s="129"/>
      <c r="C113" s="190"/>
      <c r="D113" s="190"/>
      <c r="E113" s="73"/>
      <c r="F113" s="73"/>
      <c r="G113" s="73"/>
      <c r="H113" s="73"/>
      <c r="I113" s="73"/>
      <c r="J113" s="73"/>
      <c r="K113" s="73"/>
      <c r="L113" s="73"/>
      <c r="M113" s="73"/>
      <c r="N113" s="73"/>
    </row>
    <row r="114" spans="1:14" x14ac:dyDescent="0.2">
      <c r="A114" s="189"/>
      <c r="B114" s="129"/>
      <c r="C114" s="190"/>
      <c r="D114" s="190"/>
      <c r="E114" s="73"/>
      <c r="F114" s="73"/>
      <c r="G114" s="73"/>
      <c r="H114" s="73"/>
      <c r="I114" s="73"/>
      <c r="J114" s="73"/>
      <c r="K114" s="73"/>
      <c r="L114" s="73"/>
      <c r="M114" s="73"/>
      <c r="N114" s="73"/>
    </row>
    <row r="115" spans="1:14" x14ac:dyDescent="0.2">
      <c r="A115" s="189"/>
      <c r="B115" s="129"/>
      <c r="C115" s="190"/>
      <c r="D115" s="190"/>
      <c r="E115" s="73"/>
      <c r="F115" s="73"/>
      <c r="G115" s="73"/>
      <c r="H115" s="73"/>
      <c r="I115" s="73"/>
      <c r="J115" s="73"/>
      <c r="K115" s="73"/>
      <c r="L115" s="73"/>
      <c r="M115" s="73"/>
      <c r="N115" s="73"/>
    </row>
    <row r="116" spans="1:14" x14ac:dyDescent="0.2">
      <c r="A116" s="189"/>
      <c r="B116" s="129"/>
      <c r="C116" s="190"/>
      <c r="D116" s="190"/>
      <c r="E116" s="73"/>
      <c r="F116" s="73"/>
      <c r="G116" s="73"/>
      <c r="H116" s="73"/>
      <c r="I116" s="73"/>
      <c r="J116" s="73"/>
      <c r="K116" s="73"/>
      <c r="L116" s="73"/>
      <c r="M116" s="73"/>
      <c r="N116" s="73"/>
    </row>
    <row r="117" spans="1:14" x14ac:dyDescent="0.2">
      <c r="A117" s="189"/>
      <c r="B117" s="129"/>
      <c r="C117" s="190"/>
      <c r="D117" s="190"/>
      <c r="E117" s="73"/>
      <c r="F117" s="73"/>
      <c r="G117" s="73"/>
      <c r="H117" s="73"/>
      <c r="I117" s="73"/>
      <c r="J117" s="73"/>
      <c r="K117" s="73"/>
      <c r="L117" s="73"/>
      <c r="M117" s="73"/>
      <c r="N117" s="73"/>
    </row>
    <row r="118" spans="1:14" x14ac:dyDescent="0.2">
      <c r="A118" s="189"/>
      <c r="B118" s="129"/>
      <c r="C118" s="190"/>
      <c r="D118" s="190"/>
      <c r="E118" s="73"/>
      <c r="F118" s="73"/>
      <c r="G118" s="73"/>
      <c r="H118" s="73"/>
      <c r="I118" s="73"/>
      <c r="J118" s="73"/>
      <c r="K118" s="73"/>
      <c r="L118" s="73"/>
      <c r="M118" s="73"/>
      <c r="N118" s="73"/>
    </row>
    <row r="119" spans="1:14" x14ac:dyDescent="0.2">
      <c r="A119" s="189"/>
      <c r="B119" s="129"/>
      <c r="C119" s="190"/>
      <c r="D119" s="190"/>
      <c r="E119" s="73"/>
      <c r="F119" s="73"/>
      <c r="G119" s="73"/>
      <c r="H119" s="73"/>
      <c r="I119" s="73"/>
      <c r="J119" s="73"/>
      <c r="K119" s="73"/>
      <c r="L119" s="73"/>
      <c r="M119" s="73"/>
      <c r="N119" s="73"/>
    </row>
    <row r="120" spans="1:14" x14ac:dyDescent="0.2">
      <c r="A120" s="189"/>
      <c r="B120" s="129"/>
      <c r="C120" s="190"/>
      <c r="D120" s="190"/>
      <c r="E120" s="73"/>
      <c r="F120" s="73"/>
      <c r="G120" s="73"/>
      <c r="H120" s="73"/>
      <c r="I120" s="73"/>
      <c r="J120" s="73"/>
      <c r="K120" s="73"/>
      <c r="L120" s="73"/>
      <c r="M120" s="73"/>
      <c r="N120" s="73"/>
    </row>
    <row r="121" spans="1:14" x14ac:dyDescent="0.2">
      <c r="A121" s="189"/>
      <c r="B121" s="129"/>
      <c r="C121" s="190"/>
      <c r="D121" s="190"/>
      <c r="E121" s="73"/>
      <c r="F121" s="73"/>
      <c r="G121" s="73"/>
      <c r="H121" s="73"/>
      <c r="I121" s="73"/>
      <c r="J121" s="73"/>
      <c r="K121" s="73"/>
      <c r="L121" s="73"/>
      <c r="M121" s="73"/>
      <c r="N121" s="73"/>
    </row>
    <row r="122" spans="1:14" x14ac:dyDescent="0.2">
      <c r="B122" s="129"/>
    </row>
  </sheetData>
  <hyperlinks>
    <hyperlink ref="H2" location="'Schedule B-Summary'!A33" display="'Schedule B-Summary'!A33"/>
    <hyperlink ref="J2" location="'Schedule B-Summary'!A33" display="'Schedule B-Summary'!A33"/>
    <hyperlink ref="M2" location="'Schedule B-Summary'!A33" display="'Schedule B-Summary'!A33"/>
    <hyperlink ref="O2" location="'Schedule B-Summary'!A33" display="'Schedule B-Summary'!A33"/>
    <hyperlink ref="A17" location="'Schedule B-Summary'!A33" display="Total Schedule B1: Funded Mandates 7"/>
    <hyperlink ref="F4" location="'Schedule B-Summary'!A33" display="'Schedule B-Summary'!A33"/>
    <hyperlink ref="F9" location="'Schedule B-Summary'!A33" display="'Schedule B-Summary'!A33"/>
    <hyperlink ref="A26" location="'Schedule B-Summary'!A33" display="Total Schedule B2: Unfunded Mandates 7, 8"/>
  </hyperlinks>
  <printOptions horizontalCentered="1" gridLines="1"/>
  <pageMargins left="0.3" right="0.3" top="1.1000000000000001" bottom="0.75" header="0.3" footer="0.1"/>
  <pageSetup scale="41" fitToHeight="0" orientation="landscape" r:id="rId1"/>
  <headerFooter>
    <oddFooter>&amp;LSchedule B: Summary of Funded and Unfunded State-Mandated Programs&amp;RPage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57"/>
  <sheetViews>
    <sheetView topLeftCell="A259" zoomScale="55" zoomScaleNormal="55" zoomScaleSheetLayoutView="70" zoomScalePageLayoutView="80" workbookViewId="0">
      <selection activeCell="B149" sqref="B149"/>
    </sheetView>
  </sheetViews>
  <sheetFormatPr defaultColWidth="9.140625" defaultRowHeight="15" x14ac:dyDescent="0.2"/>
  <cols>
    <col min="1" max="1" width="27.85546875" style="109" customWidth="1"/>
    <col min="2" max="2" width="76.28515625" style="215" bestFit="1" customWidth="1"/>
    <col min="3" max="3" width="20.28515625" style="216" bestFit="1" customWidth="1"/>
    <col min="4" max="4" width="16.85546875" style="109" bestFit="1" customWidth="1"/>
    <col min="5" max="5" width="23.140625" style="217" bestFit="1" customWidth="1"/>
    <col min="6" max="6" width="23.28515625" style="218" bestFit="1" customWidth="1"/>
    <col min="7" max="7" width="2.5703125" style="218" customWidth="1"/>
    <col min="8" max="8" width="29" style="217" bestFit="1" customWidth="1"/>
    <col min="9" max="9" width="20.85546875" style="218" bestFit="1" customWidth="1"/>
    <col min="10" max="10" width="21.28515625" style="218" bestFit="1" customWidth="1"/>
    <col min="11" max="11" width="19.5703125" style="217" bestFit="1" customWidth="1"/>
    <col min="12" max="12" width="23.140625" style="217" bestFit="1" customWidth="1"/>
    <col min="13" max="16384" width="9.140625" style="99"/>
  </cols>
  <sheetData>
    <row r="1" spans="1:12" ht="54" customHeight="1" x14ac:dyDescent="0.2">
      <c r="A1" s="82" t="s">
        <v>585</v>
      </c>
      <c r="B1" s="82"/>
      <c r="C1" s="82"/>
      <c r="D1" s="82"/>
      <c r="E1" s="192"/>
      <c r="F1" s="192"/>
      <c r="G1" s="192"/>
      <c r="H1" s="192"/>
      <c r="I1" s="192"/>
      <c r="J1" s="192"/>
      <c r="K1" s="192"/>
      <c r="L1" s="192"/>
    </row>
    <row r="2" spans="1:12" ht="50.1" customHeight="1" x14ac:dyDescent="0.2">
      <c r="A2" s="40" t="s">
        <v>1</v>
      </c>
      <c r="B2" s="40" t="s">
        <v>15</v>
      </c>
      <c r="C2" s="40" t="s">
        <v>16</v>
      </c>
      <c r="D2" s="193" t="s">
        <v>454</v>
      </c>
      <c r="E2" s="194" t="s">
        <v>3</v>
      </c>
      <c r="F2" s="195" t="s">
        <v>586</v>
      </c>
      <c r="G2" s="196" t="s">
        <v>465</v>
      </c>
      <c r="H2" s="197" t="s">
        <v>461</v>
      </c>
      <c r="I2" s="197" t="s">
        <v>460</v>
      </c>
      <c r="J2" s="197" t="s">
        <v>459</v>
      </c>
      <c r="K2" s="197" t="s">
        <v>458</v>
      </c>
      <c r="L2" s="197" t="s">
        <v>17</v>
      </c>
    </row>
    <row r="3" spans="1:12" ht="15" customHeight="1" x14ac:dyDescent="0.2">
      <c r="A3" s="103" t="s">
        <v>589</v>
      </c>
      <c r="B3" s="198" t="s">
        <v>19</v>
      </c>
      <c r="C3" s="37" t="s">
        <v>20</v>
      </c>
      <c r="D3" s="103">
        <v>246</v>
      </c>
      <c r="E3" s="122">
        <v>1984388</v>
      </c>
      <c r="F3" s="199">
        <v>0</v>
      </c>
      <c r="G3" s="200" t="s">
        <v>457</v>
      </c>
      <c r="H3" s="122">
        <v>1984388</v>
      </c>
      <c r="I3" s="199">
        <v>0</v>
      </c>
      <c r="J3" s="201">
        <v>0</v>
      </c>
      <c r="K3" s="201">
        <v>0</v>
      </c>
      <c r="L3" s="122">
        <v>1984388</v>
      </c>
    </row>
    <row r="4" spans="1:12" ht="15" customHeight="1" x14ac:dyDescent="0.2">
      <c r="A4" s="103" t="s">
        <v>589</v>
      </c>
      <c r="B4" s="198" t="s">
        <v>21</v>
      </c>
      <c r="C4" s="37" t="s">
        <v>22</v>
      </c>
      <c r="D4" s="103">
        <v>152</v>
      </c>
      <c r="E4" s="122">
        <v>736594</v>
      </c>
      <c r="F4" s="199">
        <v>0</v>
      </c>
      <c r="G4" s="200" t="s">
        <v>457</v>
      </c>
      <c r="H4" s="122">
        <v>736594</v>
      </c>
      <c r="I4" s="199">
        <v>0</v>
      </c>
      <c r="J4" s="201">
        <v>0</v>
      </c>
      <c r="K4" s="201">
        <v>0</v>
      </c>
      <c r="L4" s="122">
        <v>736594</v>
      </c>
    </row>
    <row r="5" spans="1:12" ht="15" customHeight="1" x14ac:dyDescent="0.2">
      <c r="A5" s="103" t="s">
        <v>589</v>
      </c>
      <c r="B5" s="198" t="s">
        <v>23</v>
      </c>
      <c r="C5" s="37" t="s">
        <v>24</v>
      </c>
      <c r="D5" s="103">
        <v>90</v>
      </c>
      <c r="E5" s="122">
        <v>415039</v>
      </c>
      <c r="F5" s="199">
        <v>0</v>
      </c>
      <c r="G5" s="200" t="s">
        <v>457</v>
      </c>
      <c r="H5" s="122">
        <v>415039</v>
      </c>
      <c r="I5" s="199">
        <v>0</v>
      </c>
      <c r="J5" s="201">
        <v>0</v>
      </c>
      <c r="K5" s="201">
        <v>0</v>
      </c>
      <c r="L5" s="122">
        <v>415039</v>
      </c>
    </row>
    <row r="6" spans="1:12" ht="15" customHeight="1" x14ac:dyDescent="0.2">
      <c r="A6" s="103" t="s">
        <v>589</v>
      </c>
      <c r="B6" s="198" t="s">
        <v>25</v>
      </c>
      <c r="C6" s="37" t="s">
        <v>26</v>
      </c>
      <c r="D6" s="103">
        <v>262</v>
      </c>
      <c r="E6" s="122">
        <v>203460</v>
      </c>
      <c r="F6" s="199">
        <v>0</v>
      </c>
      <c r="G6" s="200" t="s">
        <v>457</v>
      </c>
      <c r="H6" s="122">
        <v>203460</v>
      </c>
      <c r="I6" s="199">
        <v>0</v>
      </c>
      <c r="J6" s="201">
        <v>0</v>
      </c>
      <c r="K6" s="201">
        <v>0</v>
      </c>
      <c r="L6" s="122">
        <v>203460</v>
      </c>
    </row>
    <row r="7" spans="1:12" ht="15" customHeight="1" x14ac:dyDescent="0.2">
      <c r="A7" s="103" t="s">
        <v>589</v>
      </c>
      <c r="B7" s="198" t="s">
        <v>27</v>
      </c>
      <c r="C7" s="37" t="s">
        <v>28</v>
      </c>
      <c r="D7" s="103">
        <v>13</v>
      </c>
      <c r="E7" s="122">
        <v>11733299</v>
      </c>
      <c r="F7" s="199">
        <v>0</v>
      </c>
      <c r="G7" s="200" t="s">
        <v>457</v>
      </c>
      <c r="H7" s="122">
        <v>11733299</v>
      </c>
      <c r="I7" s="199">
        <v>0</v>
      </c>
      <c r="J7" s="201">
        <v>0</v>
      </c>
      <c r="K7" s="201">
        <v>0</v>
      </c>
      <c r="L7" s="122">
        <v>11733299</v>
      </c>
    </row>
    <row r="8" spans="1:12" ht="15" customHeight="1" x14ac:dyDescent="0.2">
      <c r="A8" s="103" t="s">
        <v>589</v>
      </c>
      <c r="B8" s="198" t="s">
        <v>29</v>
      </c>
      <c r="C8" s="37" t="s">
        <v>30</v>
      </c>
      <c r="D8" s="103">
        <v>167</v>
      </c>
      <c r="E8" s="122">
        <v>10472715</v>
      </c>
      <c r="F8" s="199">
        <v>0</v>
      </c>
      <c r="G8" s="200" t="s">
        <v>457</v>
      </c>
      <c r="H8" s="122">
        <v>10472715</v>
      </c>
      <c r="I8" s="199">
        <v>0</v>
      </c>
      <c r="J8" s="201">
        <v>0</v>
      </c>
      <c r="K8" s="201">
        <v>0</v>
      </c>
      <c r="L8" s="122">
        <v>10472715</v>
      </c>
    </row>
    <row r="9" spans="1:12" ht="15" customHeight="1" x14ac:dyDescent="0.2">
      <c r="A9" s="103" t="s">
        <v>589</v>
      </c>
      <c r="B9" s="198" t="s">
        <v>31</v>
      </c>
      <c r="C9" s="37" t="s">
        <v>32</v>
      </c>
      <c r="D9" s="103">
        <v>274</v>
      </c>
      <c r="E9" s="122">
        <v>2475193</v>
      </c>
      <c r="F9" s="199">
        <v>0</v>
      </c>
      <c r="G9" s="200" t="s">
        <v>457</v>
      </c>
      <c r="H9" s="122">
        <v>2475193</v>
      </c>
      <c r="I9" s="199">
        <v>0</v>
      </c>
      <c r="J9" s="201">
        <v>0</v>
      </c>
      <c r="K9" s="201">
        <v>0</v>
      </c>
      <c r="L9" s="122">
        <v>2475193</v>
      </c>
    </row>
    <row r="10" spans="1:12" ht="30" customHeight="1" x14ac:dyDescent="0.2">
      <c r="A10" s="103" t="s">
        <v>589</v>
      </c>
      <c r="B10" s="198" t="s">
        <v>33</v>
      </c>
      <c r="C10" s="37" t="s">
        <v>34</v>
      </c>
      <c r="D10" s="103">
        <v>177</v>
      </c>
      <c r="E10" s="122">
        <v>2564892</v>
      </c>
      <c r="F10" s="199">
        <v>0</v>
      </c>
      <c r="G10" s="200" t="s">
        <v>457</v>
      </c>
      <c r="H10" s="122">
        <v>2564892</v>
      </c>
      <c r="I10" s="199">
        <v>0</v>
      </c>
      <c r="J10" s="201">
        <v>0</v>
      </c>
      <c r="K10" s="201">
        <v>0</v>
      </c>
      <c r="L10" s="122">
        <v>2564892</v>
      </c>
    </row>
    <row r="11" spans="1:12" ht="15" customHeight="1" x14ac:dyDescent="0.2">
      <c r="A11" s="103" t="s">
        <v>589</v>
      </c>
      <c r="B11" s="198" t="s">
        <v>35</v>
      </c>
      <c r="C11" s="37" t="s">
        <v>36</v>
      </c>
      <c r="D11" s="103">
        <v>197</v>
      </c>
      <c r="E11" s="122">
        <v>2009474</v>
      </c>
      <c r="F11" s="199">
        <v>0</v>
      </c>
      <c r="G11" s="200" t="s">
        <v>457</v>
      </c>
      <c r="H11" s="122">
        <v>2009474</v>
      </c>
      <c r="I11" s="199">
        <v>0</v>
      </c>
      <c r="J11" s="201">
        <v>0</v>
      </c>
      <c r="K11" s="201">
        <v>0</v>
      </c>
      <c r="L11" s="122">
        <v>2009474</v>
      </c>
    </row>
    <row r="12" spans="1:12" ht="30" customHeight="1" x14ac:dyDescent="0.2">
      <c r="A12" s="103" t="s">
        <v>589</v>
      </c>
      <c r="B12" s="198" t="s">
        <v>590</v>
      </c>
      <c r="C12" s="37" t="s">
        <v>38</v>
      </c>
      <c r="D12" s="103">
        <v>371</v>
      </c>
      <c r="E12" s="122">
        <v>28674</v>
      </c>
      <c r="F12" s="199">
        <v>0</v>
      </c>
      <c r="G12" s="200" t="s">
        <v>457</v>
      </c>
      <c r="H12" s="122">
        <v>28674</v>
      </c>
      <c r="I12" s="199">
        <v>0</v>
      </c>
      <c r="J12" s="201">
        <v>0</v>
      </c>
      <c r="K12" s="201">
        <v>0</v>
      </c>
      <c r="L12" s="122">
        <v>28674</v>
      </c>
    </row>
    <row r="13" spans="1:12" ht="15" customHeight="1" x14ac:dyDescent="0.2">
      <c r="A13" s="103" t="s">
        <v>589</v>
      </c>
      <c r="B13" s="198" t="s">
        <v>39</v>
      </c>
      <c r="C13" s="37" t="s">
        <v>40</v>
      </c>
      <c r="D13" s="103">
        <v>334</v>
      </c>
      <c r="E13" s="122">
        <v>10323</v>
      </c>
      <c r="F13" s="199">
        <v>0</v>
      </c>
      <c r="G13" s="200" t="s">
        <v>457</v>
      </c>
      <c r="H13" s="122">
        <v>10323</v>
      </c>
      <c r="I13" s="199">
        <v>0</v>
      </c>
      <c r="J13" s="201">
        <v>0</v>
      </c>
      <c r="K13" s="201">
        <v>0</v>
      </c>
      <c r="L13" s="122">
        <v>10323</v>
      </c>
    </row>
    <row r="14" spans="1:12" ht="15" customHeight="1" x14ac:dyDescent="0.2">
      <c r="A14" s="103" t="s">
        <v>589</v>
      </c>
      <c r="B14" s="198" t="s">
        <v>41</v>
      </c>
      <c r="C14" s="37" t="s">
        <v>42</v>
      </c>
      <c r="D14" s="103">
        <v>43</v>
      </c>
      <c r="E14" s="122">
        <v>12868</v>
      </c>
      <c r="F14" s="199">
        <v>0</v>
      </c>
      <c r="G14" s="200" t="s">
        <v>457</v>
      </c>
      <c r="H14" s="122">
        <v>12868</v>
      </c>
      <c r="I14" s="199">
        <v>0</v>
      </c>
      <c r="J14" s="201">
        <v>0</v>
      </c>
      <c r="K14" s="201">
        <v>0</v>
      </c>
      <c r="L14" s="122">
        <v>12868</v>
      </c>
    </row>
    <row r="15" spans="1:12" ht="15" customHeight="1" x14ac:dyDescent="0.2">
      <c r="A15" s="103" t="s">
        <v>589</v>
      </c>
      <c r="B15" s="198" t="s">
        <v>188</v>
      </c>
      <c r="C15" s="37" t="s">
        <v>189</v>
      </c>
      <c r="D15" s="103">
        <v>373</v>
      </c>
      <c r="E15" s="122">
        <v>497311</v>
      </c>
      <c r="F15" s="199">
        <v>0</v>
      </c>
      <c r="G15" s="200" t="s">
        <v>457</v>
      </c>
      <c r="H15" s="122">
        <v>497311</v>
      </c>
      <c r="I15" s="199">
        <v>0</v>
      </c>
      <c r="J15" s="201">
        <v>0</v>
      </c>
      <c r="K15" s="201">
        <v>0</v>
      </c>
      <c r="L15" s="122">
        <v>497311</v>
      </c>
    </row>
    <row r="16" spans="1:12" ht="30" customHeight="1" x14ac:dyDescent="0.2">
      <c r="A16" s="103" t="s">
        <v>589</v>
      </c>
      <c r="B16" s="198" t="s">
        <v>45</v>
      </c>
      <c r="C16" s="37" t="s">
        <v>46</v>
      </c>
      <c r="D16" s="103">
        <v>264</v>
      </c>
      <c r="E16" s="122">
        <v>842672</v>
      </c>
      <c r="F16" s="199">
        <v>0</v>
      </c>
      <c r="G16" s="200" t="s">
        <v>457</v>
      </c>
      <c r="H16" s="122">
        <v>842672</v>
      </c>
      <c r="I16" s="199">
        <v>0</v>
      </c>
      <c r="J16" s="201">
        <v>0</v>
      </c>
      <c r="K16" s="201">
        <v>0</v>
      </c>
      <c r="L16" s="122">
        <v>842672</v>
      </c>
    </row>
    <row r="17" spans="1:12" ht="15" customHeight="1" x14ac:dyDescent="0.2">
      <c r="A17" s="103" t="s">
        <v>589</v>
      </c>
      <c r="B17" s="198" t="s">
        <v>47</v>
      </c>
      <c r="C17" s="37" t="s">
        <v>48</v>
      </c>
      <c r="D17" s="103">
        <v>187</v>
      </c>
      <c r="E17" s="122">
        <v>7239740</v>
      </c>
      <c r="F17" s="199">
        <v>0</v>
      </c>
      <c r="G17" s="200" t="s">
        <v>457</v>
      </c>
      <c r="H17" s="122">
        <v>7239740</v>
      </c>
      <c r="I17" s="199">
        <v>0</v>
      </c>
      <c r="J17" s="201">
        <v>0</v>
      </c>
      <c r="K17" s="201">
        <v>0</v>
      </c>
      <c r="L17" s="122">
        <v>7239740</v>
      </c>
    </row>
    <row r="18" spans="1:12" ht="15" customHeight="1" x14ac:dyDescent="0.2">
      <c r="A18" s="103" t="s">
        <v>589</v>
      </c>
      <c r="B18" s="198" t="s">
        <v>49</v>
      </c>
      <c r="C18" s="37" t="s">
        <v>50</v>
      </c>
      <c r="D18" s="103">
        <v>121</v>
      </c>
      <c r="E18" s="122">
        <v>66774</v>
      </c>
      <c r="F18" s="199">
        <v>0</v>
      </c>
      <c r="G18" s="200" t="s">
        <v>457</v>
      </c>
      <c r="H18" s="122">
        <v>66774</v>
      </c>
      <c r="I18" s="199">
        <v>0</v>
      </c>
      <c r="J18" s="201">
        <v>0</v>
      </c>
      <c r="K18" s="201">
        <v>0</v>
      </c>
      <c r="L18" s="122">
        <v>66774</v>
      </c>
    </row>
    <row r="19" spans="1:12" ht="15" customHeight="1" x14ac:dyDescent="0.2">
      <c r="A19" s="103" t="s">
        <v>589</v>
      </c>
      <c r="B19" s="198" t="s">
        <v>51</v>
      </c>
      <c r="C19" s="37" t="s">
        <v>52</v>
      </c>
      <c r="D19" s="103">
        <v>127</v>
      </c>
      <c r="E19" s="122">
        <v>620309</v>
      </c>
      <c r="F19" s="199">
        <v>0</v>
      </c>
      <c r="G19" s="200" t="s">
        <v>457</v>
      </c>
      <c r="H19" s="122">
        <v>620309</v>
      </c>
      <c r="I19" s="199">
        <v>0</v>
      </c>
      <c r="J19" s="201">
        <v>0</v>
      </c>
      <c r="K19" s="201">
        <v>0</v>
      </c>
      <c r="L19" s="122">
        <v>620309</v>
      </c>
    </row>
    <row r="20" spans="1:12" ht="15" customHeight="1" x14ac:dyDescent="0.2">
      <c r="A20" s="103" t="s">
        <v>589</v>
      </c>
      <c r="B20" s="198" t="s">
        <v>53</v>
      </c>
      <c r="C20" s="37" t="s">
        <v>54</v>
      </c>
      <c r="D20" s="103">
        <v>175</v>
      </c>
      <c r="E20" s="122">
        <v>15990898</v>
      </c>
      <c r="F20" s="199">
        <v>0</v>
      </c>
      <c r="G20" s="200" t="s">
        <v>457</v>
      </c>
      <c r="H20" s="122">
        <v>15990898</v>
      </c>
      <c r="I20" s="199">
        <v>0</v>
      </c>
      <c r="J20" s="201">
        <v>0</v>
      </c>
      <c r="K20" s="201">
        <v>0</v>
      </c>
      <c r="L20" s="122">
        <v>15990898</v>
      </c>
    </row>
    <row r="21" spans="1:12" ht="15" customHeight="1" x14ac:dyDescent="0.2">
      <c r="A21" s="103" t="s">
        <v>589</v>
      </c>
      <c r="B21" s="198" t="s">
        <v>55</v>
      </c>
      <c r="C21" s="37" t="s">
        <v>56</v>
      </c>
      <c r="D21" s="103">
        <v>360</v>
      </c>
      <c r="E21" s="122">
        <v>583118</v>
      </c>
      <c r="F21" s="199">
        <v>0</v>
      </c>
      <c r="G21" s="200" t="s">
        <v>457</v>
      </c>
      <c r="H21" s="122">
        <v>583118</v>
      </c>
      <c r="I21" s="199">
        <v>0</v>
      </c>
      <c r="J21" s="201">
        <v>0</v>
      </c>
      <c r="K21" s="201">
        <v>0</v>
      </c>
      <c r="L21" s="122">
        <v>583118</v>
      </c>
    </row>
    <row r="22" spans="1:12" ht="15" customHeight="1" x14ac:dyDescent="0.2">
      <c r="A22" s="103" t="s">
        <v>589</v>
      </c>
      <c r="B22" s="198" t="s">
        <v>57</v>
      </c>
      <c r="C22" s="37" t="s">
        <v>58</v>
      </c>
      <c r="D22" s="103">
        <v>163</v>
      </c>
      <c r="E22" s="122">
        <v>15467</v>
      </c>
      <c r="F22" s="199">
        <v>0</v>
      </c>
      <c r="G22" s="200" t="s">
        <v>457</v>
      </c>
      <c r="H22" s="122">
        <v>15467</v>
      </c>
      <c r="I22" s="199">
        <v>0</v>
      </c>
      <c r="J22" s="201">
        <v>0</v>
      </c>
      <c r="K22" s="201">
        <v>0</v>
      </c>
      <c r="L22" s="122">
        <v>15467</v>
      </c>
    </row>
    <row r="23" spans="1:12" ht="15" customHeight="1" x14ac:dyDescent="0.2">
      <c r="A23" s="103" t="s">
        <v>589</v>
      </c>
      <c r="B23" s="198" t="s">
        <v>59</v>
      </c>
      <c r="C23" s="37" t="s">
        <v>60</v>
      </c>
      <c r="D23" s="103">
        <v>345</v>
      </c>
      <c r="E23" s="122">
        <v>107177</v>
      </c>
      <c r="F23" s="199">
        <v>0</v>
      </c>
      <c r="G23" s="200" t="s">
        <v>457</v>
      </c>
      <c r="H23" s="122">
        <v>107177</v>
      </c>
      <c r="I23" s="199">
        <v>0</v>
      </c>
      <c r="J23" s="201">
        <v>0</v>
      </c>
      <c r="K23" s="201">
        <v>0</v>
      </c>
      <c r="L23" s="122">
        <v>107177</v>
      </c>
    </row>
    <row r="24" spans="1:12" ht="15" customHeight="1" x14ac:dyDescent="0.2">
      <c r="A24" s="103" t="s">
        <v>589</v>
      </c>
      <c r="B24" s="198" t="s">
        <v>61</v>
      </c>
      <c r="C24" s="37" t="s">
        <v>62</v>
      </c>
      <c r="D24" s="103">
        <v>372</v>
      </c>
      <c r="E24" s="122">
        <v>2101511</v>
      </c>
      <c r="F24" s="199">
        <v>0</v>
      </c>
      <c r="G24" s="200" t="s">
        <v>457</v>
      </c>
      <c r="H24" s="122">
        <v>2101511</v>
      </c>
      <c r="I24" s="199">
        <v>0</v>
      </c>
      <c r="J24" s="201">
        <v>0</v>
      </c>
      <c r="K24" s="201">
        <v>0</v>
      </c>
      <c r="L24" s="122">
        <v>2101511</v>
      </c>
    </row>
    <row r="25" spans="1:12" ht="15" customHeight="1" x14ac:dyDescent="0.2">
      <c r="A25" s="103" t="s">
        <v>589</v>
      </c>
      <c r="B25" s="198" t="s">
        <v>431</v>
      </c>
      <c r="C25" s="37" t="s">
        <v>432</v>
      </c>
      <c r="D25" s="103">
        <v>377</v>
      </c>
      <c r="E25" s="122">
        <v>3200776</v>
      </c>
      <c r="F25" s="199">
        <v>0</v>
      </c>
      <c r="G25" s="200" t="s">
        <v>457</v>
      </c>
      <c r="H25" s="122">
        <v>3200776</v>
      </c>
      <c r="I25" s="199">
        <v>0</v>
      </c>
      <c r="J25" s="201">
        <v>0</v>
      </c>
      <c r="K25" s="201">
        <v>0</v>
      </c>
      <c r="L25" s="122">
        <v>3200776</v>
      </c>
    </row>
    <row r="26" spans="1:12" ht="15" customHeight="1" x14ac:dyDescent="0.2">
      <c r="A26" s="202" t="s">
        <v>591</v>
      </c>
      <c r="B26" s="203" t="s">
        <v>464</v>
      </c>
      <c r="C26" s="203" t="s">
        <v>464</v>
      </c>
      <c r="D26" s="203" t="s">
        <v>464</v>
      </c>
      <c r="E26" s="117">
        <f>SUBTOTAL(109,local202021[Program
Costs])</f>
        <v>63912672</v>
      </c>
      <c r="F26" s="204">
        <f>SUBTOTAL(109,local202021[Less: Net 
Payments
 and Offsets 1])</f>
        <v>0</v>
      </c>
      <c r="G26" s="203" t="s">
        <v>464</v>
      </c>
      <c r="H26" s="117">
        <f>SUBTOTAL(109,local202021[Accounts Payable
Balance])</f>
        <v>63912672</v>
      </c>
      <c r="I26" s="204">
        <f>SUBTOTAL(109,local202021[Established
Accounts Receivable])</f>
        <v>0</v>
      </c>
      <c r="J26" s="118">
        <f>SUBTOTAL(109,local202021[Less: 
Recovered 
Amount])</f>
        <v>0</v>
      </c>
      <c r="K26" s="118">
        <f>SUBTOTAL(109,local202021[Accounts Receivable
Balance])</f>
        <v>0</v>
      </c>
      <c r="L26" s="117">
        <f>SUBTOTAL(109,local202021[Net
Balance])</f>
        <v>63912672</v>
      </c>
    </row>
    <row r="27" spans="1:12" x14ac:dyDescent="0.2">
      <c r="A27" s="169" t="s">
        <v>463</v>
      </c>
      <c r="B27" s="198"/>
      <c r="C27" s="37"/>
      <c r="D27" s="103"/>
      <c r="E27" s="122"/>
      <c r="F27" s="122"/>
      <c r="G27" s="122"/>
      <c r="H27" s="122"/>
      <c r="I27" s="122"/>
      <c r="J27" s="122"/>
      <c r="K27" s="122"/>
      <c r="L27" s="122"/>
    </row>
    <row r="28" spans="1:12" ht="50.1" customHeight="1" x14ac:dyDescent="0.2">
      <c r="A28" s="40" t="s">
        <v>1</v>
      </c>
      <c r="B28" s="40" t="s">
        <v>15</v>
      </c>
      <c r="C28" s="40" t="s">
        <v>16</v>
      </c>
      <c r="D28" s="193" t="s">
        <v>454</v>
      </c>
      <c r="E28" s="194" t="s">
        <v>3</v>
      </c>
      <c r="F28" s="40" t="s">
        <v>587</v>
      </c>
      <c r="G28" s="196" t="s">
        <v>462</v>
      </c>
      <c r="H28" s="197" t="s">
        <v>461</v>
      </c>
      <c r="I28" s="197" t="s">
        <v>460</v>
      </c>
      <c r="J28" s="197" t="s">
        <v>459</v>
      </c>
      <c r="K28" s="197" t="s">
        <v>458</v>
      </c>
      <c r="L28" s="197" t="s">
        <v>17</v>
      </c>
    </row>
    <row r="29" spans="1:12" ht="15" customHeight="1" x14ac:dyDescent="0.2">
      <c r="A29" s="103" t="s">
        <v>425</v>
      </c>
      <c r="B29" s="119" t="s">
        <v>19</v>
      </c>
      <c r="C29" s="103" t="s">
        <v>20</v>
      </c>
      <c r="D29" s="103">
        <v>246</v>
      </c>
      <c r="E29" s="104">
        <v>1710080</v>
      </c>
      <c r="F29" s="104">
        <v>1697658</v>
      </c>
      <c r="G29" s="200" t="s">
        <v>457</v>
      </c>
      <c r="H29" s="104">
        <v>12422</v>
      </c>
      <c r="I29" s="104">
        <v>1418</v>
      </c>
      <c r="J29" s="201">
        <v>0</v>
      </c>
      <c r="K29" s="104">
        <v>1418</v>
      </c>
      <c r="L29" s="104">
        <v>11004</v>
      </c>
    </row>
    <row r="30" spans="1:12" ht="15" customHeight="1" x14ac:dyDescent="0.2">
      <c r="A30" s="103" t="s">
        <v>425</v>
      </c>
      <c r="B30" s="198" t="s">
        <v>21</v>
      </c>
      <c r="C30" s="37" t="s">
        <v>22</v>
      </c>
      <c r="D30" s="103">
        <v>152</v>
      </c>
      <c r="E30" s="104">
        <v>766328</v>
      </c>
      <c r="F30" s="104">
        <v>624000</v>
      </c>
      <c r="G30" s="200" t="s">
        <v>457</v>
      </c>
      <c r="H30" s="104">
        <v>142328</v>
      </c>
      <c r="I30" s="201">
        <v>0</v>
      </c>
      <c r="J30" s="201">
        <v>0</v>
      </c>
      <c r="K30" s="201">
        <v>0</v>
      </c>
      <c r="L30" s="104">
        <v>142328</v>
      </c>
    </row>
    <row r="31" spans="1:12" ht="15" customHeight="1" x14ac:dyDescent="0.2">
      <c r="A31" s="103" t="s">
        <v>425</v>
      </c>
      <c r="B31" s="198" t="s">
        <v>23</v>
      </c>
      <c r="C31" s="37" t="s">
        <v>24</v>
      </c>
      <c r="D31" s="103">
        <v>90</v>
      </c>
      <c r="E31" s="104">
        <v>388713</v>
      </c>
      <c r="F31" s="104">
        <v>385998</v>
      </c>
      <c r="G31" s="200" t="s">
        <v>457</v>
      </c>
      <c r="H31" s="104">
        <v>2715</v>
      </c>
      <c r="I31" s="201">
        <v>0</v>
      </c>
      <c r="J31" s="201">
        <v>0</v>
      </c>
      <c r="K31" s="201">
        <v>0</v>
      </c>
      <c r="L31" s="104">
        <v>2715</v>
      </c>
    </row>
    <row r="32" spans="1:12" ht="15" customHeight="1" x14ac:dyDescent="0.2">
      <c r="A32" s="103" t="s">
        <v>425</v>
      </c>
      <c r="B32" s="198" t="s">
        <v>25</v>
      </c>
      <c r="C32" s="37" t="s">
        <v>26</v>
      </c>
      <c r="D32" s="103">
        <v>262</v>
      </c>
      <c r="E32" s="104">
        <v>186408</v>
      </c>
      <c r="F32" s="104">
        <v>183998</v>
      </c>
      <c r="G32" s="200" t="s">
        <v>457</v>
      </c>
      <c r="H32" s="104">
        <v>2410</v>
      </c>
      <c r="I32" s="201">
        <v>0</v>
      </c>
      <c r="J32" s="201">
        <v>0</v>
      </c>
      <c r="K32" s="201">
        <v>0</v>
      </c>
      <c r="L32" s="104">
        <v>2410</v>
      </c>
    </row>
    <row r="33" spans="1:12" ht="15" customHeight="1" x14ac:dyDescent="0.2">
      <c r="A33" s="103" t="s">
        <v>425</v>
      </c>
      <c r="B33" s="198" t="s">
        <v>29</v>
      </c>
      <c r="C33" s="37" t="s">
        <v>30</v>
      </c>
      <c r="D33" s="103">
        <v>167</v>
      </c>
      <c r="E33" s="104">
        <v>10040680</v>
      </c>
      <c r="F33" s="104">
        <v>9909000</v>
      </c>
      <c r="G33" s="200" t="s">
        <v>457</v>
      </c>
      <c r="H33" s="104">
        <v>131680</v>
      </c>
      <c r="I33" s="201">
        <v>0</v>
      </c>
      <c r="J33" s="201">
        <v>0</v>
      </c>
      <c r="K33" s="201">
        <v>0</v>
      </c>
      <c r="L33" s="104">
        <v>131680</v>
      </c>
    </row>
    <row r="34" spans="1:12" ht="15" customHeight="1" x14ac:dyDescent="0.2">
      <c r="A34" s="103" t="s">
        <v>425</v>
      </c>
      <c r="B34" s="198" t="s">
        <v>31</v>
      </c>
      <c r="C34" s="37" t="s">
        <v>32</v>
      </c>
      <c r="D34" s="103">
        <v>274</v>
      </c>
      <c r="E34" s="104">
        <v>2458662</v>
      </c>
      <c r="F34" s="104">
        <v>2367993</v>
      </c>
      <c r="G34" s="200" t="s">
        <v>457</v>
      </c>
      <c r="H34" s="104">
        <v>90669</v>
      </c>
      <c r="I34" s="201">
        <v>0</v>
      </c>
      <c r="J34" s="201">
        <v>0</v>
      </c>
      <c r="K34" s="201">
        <v>0</v>
      </c>
      <c r="L34" s="104">
        <v>90669</v>
      </c>
    </row>
    <row r="35" spans="1:12" ht="15" customHeight="1" x14ac:dyDescent="0.2">
      <c r="A35" s="103" t="s">
        <v>425</v>
      </c>
      <c r="B35" s="198" t="s">
        <v>35</v>
      </c>
      <c r="C35" s="37" t="s">
        <v>36</v>
      </c>
      <c r="D35" s="103">
        <v>197</v>
      </c>
      <c r="E35" s="104">
        <v>2488509</v>
      </c>
      <c r="F35" s="104">
        <v>2482800</v>
      </c>
      <c r="G35" s="200" t="s">
        <v>457</v>
      </c>
      <c r="H35" s="104">
        <v>5709</v>
      </c>
      <c r="I35" s="104">
        <v>259</v>
      </c>
      <c r="J35" s="201">
        <v>0</v>
      </c>
      <c r="K35" s="104">
        <v>259</v>
      </c>
      <c r="L35" s="104">
        <v>5450</v>
      </c>
    </row>
    <row r="36" spans="1:12" ht="15" customHeight="1" x14ac:dyDescent="0.2">
      <c r="A36" s="103" t="s">
        <v>425</v>
      </c>
      <c r="B36" s="198" t="s">
        <v>39</v>
      </c>
      <c r="C36" s="37" t="s">
        <v>40</v>
      </c>
      <c r="D36" s="103">
        <v>334</v>
      </c>
      <c r="E36" s="104">
        <v>19940</v>
      </c>
      <c r="F36" s="104">
        <v>15000</v>
      </c>
      <c r="G36" s="200" t="s">
        <v>457</v>
      </c>
      <c r="H36" s="104">
        <v>4940</v>
      </c>
      <c r="I36" s="201">
        <v>0</v>
      </c>
      <c r="J36" s="201">
        <v>0</v>
      </c>
      <c r="K36" s="201">
        <v>0</v>
      </c>
      <c r="L36" s="104">
        <v>4940</v>
      </c>
    </row>
    <row r="37" spans="1:12" ht="15" customHeight="1" x14ac:dyDescent="0.2">
      <c r="A37" s="103" t="s">
        <v>425</v>
      </c>
      <c r="B37" s="198" t="s">
        <v>41</v>
      </c>
      <c r="C37" s="37" t="s">
        <v>42</v>
      </c>
      <c r="D37" s="103">
        <v>43</v>
      </c>
      <c r="E37" s="104">
        <v>15408</v>
      </c>
      <c r="F37" s="104">
        <v>8000</v>
      </c>
      <c r="G37" s="200" t="s">
        <v>457</v>
      </c>
      <c r="H37" s="104">
        <v>7408</v>
      </c>
      <c r="I37" s="201">
        <v>0</v>
      </c>
      <c r="J37" s="201">
        <v>0</v>
      </c>
      <c r="K37" s="201">
        <v>0</v>
      </c>
      <c r="L37" s="104">
        <v>7408</v>
      </c>
    </row>
    <row r="38" spans="1:12" ht="15" customHeight="1" x14ac:dyDescent="0.2">
      <c r="A38" s="103" t="s">
        <v>425</v>
      </c>
      <c r="B38" s="198" t="s">
        <v>188</v>
      </c>
      <c r="C38" s="37" t="s">
        <v>189</v>
      </c>
      <c r="D38" s="103">
        <v>373</v>
      </c>
      <c r="E38" s="104">
        <v>501051</v>
      </c>
      <c r="F38" s="104">
        <v>498701</v>
      </c>
      <c r="G38" s="200" t="s">
        <v>457</v>
      </c>
      <c r="H38" s="104">
        <v>2350</v>
      </c>
      <c r="I38" s="201">
        <v>0</v>
      </c>
      <c r="J38" s="201">
        <v>0</v>
      </c>
      <c r="K38" s="201">
        <v>0</v>
      </c>
      <c r="L38" s="104">
        <v>2350</v>
      </c>
    </row>
    <row r="39" spans="1:12" ht="15" customHeight="1" x14ac:dyDescent="0.2">
      <c r="A39" s="103" t="s">
        <v>425</v>
      </c>
      <c r="B39" s="198" t="s">
        <v>45</v>
      </c>
      <c r="C39" s="37" t="s">
        <v>46</v>
      </c>
      <c r="D39" s="103">
        <v>264</v>
      </c>
      <c r="E39" s="104">
        <v>890165</v>
      </c>
      <c r="F39" s="104">
        <v>837000</v>
      </c>
      <c r="G39" s="200" t="s">
        <v>457</v>
      </c>
      <c r="H39" s="104">
        <v>53165</v>
      </c>
      <c r="I39" s="201">
        <v>0</v>
      </c>
      <c r="J39" s="201">
        <v>0</v>
      </c>
      <c r="K39" s="201">
        <v>0</v>
      </c>
      <c r="L39" s="104">
        <v>53165</v>
      </c>
    </row>
    <row r="40" spans="1:12" ht="15" customHeight="1" x14ac:dyDescent="0.2">
      <c r="A40" s="103" t="s">
        <v>425</v>
      </c>
      <c r="B40" s="198" t="s">
        <v>47</v>
      </c>
      <c r="C40" s="37" t="s">
        <v>48</v>
      </c>
      <c r="D40" s="103">
        <v>187</v>
      </c>
      <c r="E40" s="104">
        <v>7441853</v>
      </c>
      <c r="F40" s="201">
        <v>0</v>
      </c>
      <c r="G40" s="200" t="s">
        <v>457</v>
      </c>
      <c r="H40" s="104">
        <v>7441853</v>
      </c>
      <c r="I40" s="201">
        <v>0</v>
      </c>
      <c r="J40" s="201">
        <v>0</v>
      </c>
      <c r="K40" s="201">
        <v>0</v>
      </c>
      <c r="L40" s="104">
        <v>7441853</v>
      </c>
    </row>
    <row r="41" spans="1:12" ht="15" customHeight="1" x14ac:dyDescent="0.2">
      <c r="A41" s="103" t="s">
        <v>425</v>
      </c>
      <c r="B41" s="198" t="s">
        <v>49</v>
      </c>
      <c r="C41" s="37" t="s">
        <v>50</v>
      </c>
      <c r="D41" s="103">
        <v>121</v>
      </c>
      <c r="E41" s="104">
        <v>57203</v>
      </c>
      <c r="F41" s="104">
        <v>49000</v>
      </c>
      <c r="G41" s="200" t="s">
        <v>457</v>
      </c>
      <c r="H41" s="104">
        <v>8203</v>
      </c>
      <c r="I41" s="201">
        <v>0</v>
      </c>
      <c r="J41" s="201">
        <v>0</v>
      </c>
      <c r="K41" s="201">
        <v>0</v>
      </c>
      <c r="L41" s="104">
        <v>8203</v>
      </c>
    </row>
    <row r="42" spans="1:12" ht="15" customHeight="1" x14ac:dyDescent="0.2">
      <c r="A42" s="103" t="s">
        <v>425</v>
      </c>
      <c r="B42" s="198" t="s">
        <v>53</v>
      </c>
      <c r="C42" s="37" t="s">
        <v>54</v>
      </c>
      <c r="D42" s="103">
        <v>175</v>
      </c>
      <c r="E42" s="104">
        <v>14741950</v>
      </c>
      <c r="F42" s="104">
        <v>3932999</v>
      </c>
      <c r="G42" s="200" t="s">
        <v>457</v>
      </c>
      <c r="H42" s="104">
        <v>10808951</v>
      </c>
      <c r="I42" s="201">
        <v>0</v>
      </c>
      <c r="J42" s="201">
        <v>0</v>
      </c>
      <c r="K42" s="201">
        <v>0</v>
      </c>
      <c r="L42" s="104">
        <v>10808951</v>
      </c>
    </row>
    <row r="43" spans="1:12" ht="15" customHeight="1" x14ac:dyDescent="0.2">
      <c r="A43" s="103" t="s">
        <v>425</v>
      </c>
      <c r="B43" s="198" t="s">
        <v>57</v>
      </c>
      <c r="C43" s="37" t="s">
        <v>58</v>
      </c>
      <c r="D43" s="103">
        <v>163</v>
      </c>
      <c r="E43" s="104">
        <v>40273</v>
      </c>
      <c r="F43" s="201">
        <v>0</v>
      </c>
      <c r="G43" s="200" t="s">
        <v>457</v>
      </c>
      <c r="H43" s="104">
        <v>40273</v>
      </c>
      <c r="I43" s="201">
        <v>0</v>
      </c>
      <c r="J43" s="201">
        <v>0</v>
      </c>
      <c r="K43" s="201">
        <v>0</v>
      </c>
      <c r="L43" s="104">
        <v>40273</v>
      </c>
    </row>
    <row r="44" spans="1:12" ht="15" customHeight="1" x14ac:dyDescent="0.2">
      <c r="A44" s="103" t="s">
        <v>425</v>
      </c>
      <c r="B44" s="198" t="s">
        <v>61</v>
      </c>
      <c r="C44" s="37" t="s">
        <v>62</v>
      </c>
      <c r="D44" s="103">
        <v>372</v>
      </c>
      <c r="E44" s="104">
        <v>1569356</v>
      </c>
      <c r="F44" s="104">
        <v>1386000</v>
      </c>
      <c r="G44" s="200" t="s">
        <v>457</v>
      </c>
      <c r="H44" s="104">
        <v>183356</v>
      </c>
      <c r="I44" s="201">
        <v>0</v>
      </c>
      <c r="J44" s="201">
        <v>0</v>
      </c>
      <c r="K44" s="201">
        <v>0</v>
      </c>
      <c r="L44" s="104">
        <v>183356</v>
      </c>
    </row>
    <row r="45" spans="1:12" ht="15" customHeight="1" x14ac:dyDescent="0.2">
      <c r="A45" s="103" t="s">
        <v>425</v>
      </c>
      <c r="B45" s="198" t="s">
        <v>431</v>
      </c>
      <c r="C45" s="37" t="s">
        <v>432</v>
      </c>
      <c r="D45" s="103">
        <v>377</v>
      </c>
      <c r="E45" s="104">
        <v>2867995</v>
      </c>
      <c r="F45" s="104">
        <v>2816677</v>
      </c>
      <c r="G45" s="200" t="s">
        <v>457</v>
      </c>
      <c r="H45" s="104">
        <v>51318</v>
      </c>
      <c r="I45" s="201">
        <v>0</v>
      </c>
      <c r="J45" s="201">
        <v>0</v>
      </c>
      <c r="K45" s="201">
        <v>0</v>
      </c>
      <c r="L45" s="104">
        <v>51318</v>
      </c>
    </row>
    <row r="46" spans="1:12" ht="15" customHeight="1" x14ac:dyDescent="0.2">
      <c r="A46" s="202" t="s">
        <v>426</v>
      </c>
      <c r="B46" s="203" t="s">
        <v>464</v>
      </c>
      <c r="C46" s="203" t="s">
        <v>464</v>
      </c>
      <c r="D46" s="203" t="s">
        <v>464</v>
      </c>
      <c r="E46" s="219">
        <f>SUBTOTAL(109,local201920[Program
Costs])</f>
        <v>46184574</v>
      </c>
      <c r="F46" s="219">
        <f>SUBTOTAL(109,local201920[Less: Net 
Payments
 and Offsets 1])</f>
        <v>27194824</v>
      </c>
      <c r="G46" s="220" t="s">
        <v>464</v>
      </c>
      <c r="H46" s="219">
        <f>SUBTOTAL(109,local201920[Accounts Payable
Balance])</f>
        <v>18989750</v>
      </c>
      <c r="I46" s="219">
        <f>SUBTOTAL(109,local201920[Established
Accounts Receivable])</f>
        <v>1677</v>
      </c>
      <c r="J46" s="118">
        <f>SUBTOTAL(109,local201920[Less: 
Recovered 
Amount])</f>
        <v>0</v>
      </c>
      <c r="K46" s="219">
        <f>SUBTOTAL(109,local201920[Accounts Receivable
Balance])</f>
        <v>1677</v>
      </c>
      <c r="L46" s="219">
        <f>SUBTOTAL(109,local201920[Net
Balance])</f>
        <v>18988073</v>
      </c>
    </row>
    <row r="47" spans="1:12" ht="15.75" customHeight="1" x14ac:dyDescent="0.2">
      <c r="A47" s="169" t="s">
        <v>463</v>
      </c>
      <c r="B47" s="198"/>
      <c r="C47" s="37"/>
      <c r="D47" s="103"/>
      <c r="E47" s="122"/>
      <c r="F47" s="122"/>
      <c r="G47" s="122"/>
      <c r="H47" s="122"/>
      <c r="I47" s="122"/>
      <c r="J47" s="122"/>
      <c r="K47" s="122"/>
      <c r="L47" s="122"/>
    </row>
    <row r="48" spans="1:12" ht="50.1" customHeight="1" x14ac:dyDescent="0.2">
      <c r="A48" s="40" t="s">
        <v>1</v>
      </c>
      <c r="B48" s="40" t="s">
        <v>15</v>
      </c>
      <c r="C48" s="40" t="s">
        <v>16</v>
      </c>
      <c r="D48" s="193" t="s">
        <v>454</v>
      </c>
      <c r="E48" s="194" t="s">
        <v>3</v>
      </c>
      <c r="F48" s="40" t="s">
        <v>587</v>
      </c>
      <c r="G48" s="196" t="s">
        <v>462</v>
      </c>
      <c r="H48" s="197" t="s">
        <v>461</v>
      </c>
      <c r="I48" s="197" t="s">
        <v>460</v>
      </c>
      <c r="J48" s="197" t="s">
        <v>459</v>
      </c>
      <c r="K48" s="197" t="s">
        <v>458</v>
      </c>
      <c r="L48" s="197" t="s">
        <v>17</v>
      </c>
    </row>
    <row r="49" spans="1:12" ht="15" customHeight="1" x14ac:dyDescent="0.2">
      <c r="A49" s="103" t="s">
        <v>18</v>
      </c>
      <c r="B49" s="198" t="s">
        <v>19</v>
      </c>
      <c r="C49" s="37" t="s">
        <v>20</v>
      </c>
      <c r="D49" s="103">
        <v>246</v>
      </c>
      <c r="E49" s="122">
        <v>1752471</v>
      </c>
      <c r="F49" s="122">
        <v>1726710</v>
      </c>
      <c r="G49" s="200" t="s">
        <v>457</v>
      </c>
      <c r="H49" s="122">
        <v>25761</v>
      </c>
      <c r="I49" s="122">
        <v>17315</v>
      </c>
      <c r="J49" s="122">
        <v>11577</v>
      </c>
      <c r="K49" s="122">
        <v>5738</v>
      </c>
      <c r="L49" s="122">
        <v>20023</v>
      </c>
    </row>
    <row r="50" spans="1:12" ht="15" customHeight="1" x14ac:dyDescent="0.2">
      <c r="A50" s="103" t="s">
        <v>18</v>
      </c>
      <c r="B50" s="198" t="s">
        <v>21</v>
      </c>
      <c r="C50" s="37" t="s">
        <v>22</v>
      </c>
      <c r="D50" s="103">
        <v>152</v>
      </c>
      <c r="E50" s="122">
        <v>772325</v>
      </c>
      <c r="F50" s="122">
        <v>602996</v>
      </c>
      <c r="G50" s="200" t="s">
        <v>457</v>
      </c>
      <c r="H50" s="122">
        <v>169329</v>
      </c>
      <c r="I50" s="201">
        <v>0</v>
      </c>
      <c r="J50" s="201">
        <v>0</v>
      </c>
      <c r="K50" s="201">
        <v>0</v>
      </c>
      <c r="L50" s="122">
        <v>169329</v>
      </c>
    </row>
    <row r="51" spans="1:12" ht="15" customHeight="1" x14ac:dyDescent="0.2">
      <c r="A51" s="103" t="s">
        <v>18</v>
      </c>
      <c r="B51" s="198" t="s">
        <v>25</v>
      </c>
      <c r="C51" s="37" t="s">
        <v>26</v>
      </c>
      <c r="D51" s="103">
        <v>262</v>
      </c>
      <c r="E51" s="122">
        <v>179639</v>
      </c>
      <c r="F51" s="122">
        <v>178000</v>
      </c>
      <c r="G51" s="200" t="s">
        <v>457</v>
      </c>
      <c r="H51" s="122">
        <v>1639</v>
      </c>
      <c r="I51" s="201">
        <v>0</v>
      </c>
      <c r="J51" s="201">
        <v>0</v>
      </c>
      <c r="K51" s="201">
        <v>0</v>
      </c>
      <c r="L51" s="122">
        <v>1639</v>
      </c>
    </row>
    <row r="52" spans="1:12" ht="15" customHeight="1" x14ac:dyDescent="0.2">
      <c r="A52" s="103" t="s">
        <v>18</v>
      </c>
      <c r="B52" s="198" t="s">
        <v>27</v>
      </c>
      <c r="C52" s="37" t="s">
        <v>28</v>
      </c>
      <c r="D52" s="103">
        <v>13</v>
      </c>
      <c r="E52" s="122">
        <v>11327727</v>
      </c>
      <c r="F52" s="122">
        <v>11327727</v>
      </c>
      <c r="G52" s="200" t="s">
        <v>457</v>
      </c>
      <c r="H52" s="201">
        <v>0</v>
      </c>
      <c r="I52" s="122">
        <v>1475214</v>
      </c>
      <c r="J52" s="122">
        <v>399720</v>
      </c>
      <c r="K52" s="122">
        <v>1075494</v>
      </c>
      <c r="L52" s="122">
        <v>-1075494</v>
      </c>
    </row>
    <row r="53" spans="1:12" ht="15" customHeight="1" x14ac:dyDescent="0.2">
      <c r="A53" s="103" t="s">
        <v>18</v>
      </c>
      <c r="B53" s="198" t="s">
        <v>29</v>
      </c>
      <c r="C53" s="37" t="s">
        <v>30</v>
      </c>
      <c r="D53" s="103">
        <v>167</v>
      </c>
      <c r="E53" s="122">
        <v>9655862</v>
      </c>
      <c r="F53" s="122">
        <v>9573221</v>
      </c>
      <c r="G53" s="200" t="s">
        <v>457</v>
      </c>
      <c r="H53" s="122">
        <v>82641</v>
      </c>
      <c r="I53" s="122">
        <v>420</v>
      </c>
      <c r="J53" s="122">
        <v>420</v>
      </c>
      <c r="K53" s="201">
        <v>0</v>
      </c>
      <c r="L53" s="122">
        <v>82641</v>
      </c>
    </row>
    <row r="54" spans="1:12" ht="15" customHeight="1" x14ac:dyDescent="0.2">
      <c r="A54" s="103" t="s">
        <v>18</v>
      </c>
      <c r="B54" s="198" t="s">
        <v>31</v>
      </c>
      <c r="C54" s="37" t="s">
        <v>32</v>
      </c>
      <c r="D54" s="103">
        <v>274</v>
      </c>
      <c r="E54" s="122">
        <v>2392043</v>
      </c>
      <c r="F54" s="122">
        <v>2285383</v>
      </c>
      <c r="G54" s="200" t="s">
        <v>457</v>
      </c>
      <c r="H54" s="122">
        <v>106660</v>
      </c>
      <c r="I54" s="122">
        <v>2616</v>
      </c>
      <c r="J54" s="122">
        <v>2616</v>
      </c>
      <c r="K54" s="201">
        <v>0</v>
      </c>
      <c r="L54" s="122">
        <v>106660</v>
      </c>
    </row>
    <row r="55" spans="1:12" ht="15" customHeight="1" x14ac:dyDescent="0.2">
      <c r="A55" s="103" t="s">
        <v>18</v>
      </c>
      <c r="B55" s="198" t="s">
        <v>41</v>
      </c>
      <c r="C55" s="37" t="s">
        <v>42</v>
      </c>
      <c r="D55" s="103">
        <v>43</v>
      </c>
      <c r="E55" s="122">
        <v>12012</v>
      </c>
      <c r="F55" s="122">
        <v>8000</v>
      </c>
      <c r="G55" s="200" t="s">
        <v>457</v>
      </c>
      <c r="H55" s="122">
        <v>4012</v>
      </c>
      <c r="I55" s="201">
        <v>0</v>
      </c>
      <c r="J55" s="201">
        <v>0</v>
      </c>
      <c r="K55" s="201">
        <v>0</v>
      </c>
      <c r="L55" s="122">
        <v>4012</v>
      </c>
    </row>
    <row r="56" spans="1:12" ht="15" customHeight="1" x14ac:dyDescent="0.2">
      <c r="A56" s="103" t="s">
        <v>18</v>
      </c>
      <c r="B56" s="198" t="s">
        <v>43</v>
      </c>
      <c r="C56" s="37" t="s">
        <v>44</v>
      </c>
      <c r="D56" s="103">
        <v>361</v>
      </c>
      <c r="E56" s="122">
        <v>4262</v>
      </c>
      <c r="F56" s="122">
        <v>1999</v>
      </c>
      <c r="G56" s="200" t="s">
        <v>457</v>
      </c>
      <c r="H56" s="122">
        <v>2263</v>
      </c>
      <c r="I56" s="201">
        <v>0</v>
      </c>
      <c r="J56" s="201">
        <v>0</v>
      </c>
      <c r="K56" s="201">
        <v>0</v>
      </c>
      <c r="L56" s="122">
        <v>2263</v>
      </c>
    </row>
    <row r="57" spans="1:12" ht="15" customHeight="1" x14ac:dyDescent="0.2">
      <c r="A57" s="103" t="s">
        <v>18</v>
      </c>
      <c r="B57" s="198" t="s">
        <v>188</v>
      </c>
      <c r="C57" s="37" t="s">
        <v>189</v>
      </c>
      <c r="D57" s="103">
        <v>373</v>
      </c>
      <c r="E57" s="122">
        <v>402207</v>
      </c>
      <c r="F57" s="122">
        <v>400041</v>
      </c>
      <c r="G57" s="200" t="s">
        <v>457</v>
      </c>
      <c r="H57" s="122">
        <v>2166</v>
      </c>
      <c r="I57" s="201">
        <v>0</v>
      </c>
      <c r="J57" s="201">
        <v>0</v>
      </c>
      <c r="K57" s="201">
        <v>0</v>
      </c>
      <c r="L57" s="122">
        <v>2166</v>
      </c>
    </row>
    <row r="58" spans="1:12" ht="30" customHeight="1" x14ac:dyDescent="0.2">
      <c r="A58" s="103" t="s">
        <v>18</v>
      </c>
      <c r="B58" s="198" t="s">
        <v>45</v>
      </c>
      <c r="C58" s="37" t="s">
        <v>46</v>
      </c>
      <c r="D58" s="103">
        <v>264</v>
      </c>
      <c r="E58" s="122">
        <v>849857</v>
      </c>
      <c r="F58" s="122">
        <v>806613</v>
      </c>
      <c r="G58" s="200" t="s">
        <v>457</v>
      </c>
      <c r="H58" s="122">
        <v>43244</v>
      </c>
      <c r="I58" s="122">
        <v>2387</v>
      </c>
      <c r="J58" s="122">
        <v>2387</v>
      </c>
      <c r="K58" s="201">
        <v>0</v>
      </c>
      <c r="L58" s="122">
        <v>43244</v>
      </c>
    </row>
    <row r="59" spans="1:12" ht="15" customHeight="1" x14ac:dyDescent="0.2">
      <c r="A59" s="103" t="s">
        <v>18</v>
      </c>
      <c r="B59" s="198" t="s">
        <v>47</v>
      </c>
      <c r="C59" s="37" t="s">
        <v>48</v>
      </c>
      <c r="D59" s="103">
        <v>187</v>
      </c>
      <c r="E59" s="122">
        <v>7051221</v>
      </c>
      <c r="F59" s="201">
        <v>0</v>
      </c>
      <c r="G59" s="200" t="s">
        <v>457</v>
      </c>
      <c r="H59" s="122">
        <v>7051221</v>
      </c>
      <c r="I59" s="201">
        <v>0</v>
      </c>
      <c r="J59" s="201">
        <v>0</v>
      </c>
      <c r="K59" s="201">
        <v>0</v>
      </c>
      <c r="L59" s="122">
        <v>7051221</v>
      </c>
    </row>
    <row r="60" spans="1:12" ht="15" customHeight="1" x14ac:dyDescent="0.2">
      <c r="A60" s="103" t="s">
        <v>18</v>
      </c>
      <c r="B60" s="198" t="s">
        <v>49</v>
      </c>
      <c r="C60" s="37" t="s">
        <v>50</v>
      </c>
      <c r="D60" s="103">
        <v>121</v>
      </c>
      <c r="E60" s="122">
        <v>65987</v>
      </c>
      <c r="F60" s="122">
        <v>47000</v>
      </c>
      <c r="G60" s="200" t="s">
        <v>457</v>
      </c>
      <c r="H60" s="122">
        <v>18987</v>
      </c>
      <c r="I60" s="201">
        <v>0</v>
      </c>
      <c r="J60" s="201">
        <v>0</v>
      </c>
      <c r="K60" s="201">
        <v>0</v>
      </c>
      <c r="L60" s="122">
        <v>18987</v>
      </c>
    </row>
    <row r="61" spans="1:12" ht="15" customHeight="1" x14ac:dyDescent="0.2">
      <c r="A61" s="103" t="s">
        <v>18</v>
      </c>
      <c r="B61" s="198" t="s">
        <v>51</v>
      </c>
      <c r="C61" s="37" t="s">
        <v>52</v>
      </c>
      <c r="D61" s="103">
        <v>127</v>
      </c>
      <c r="E61" s="122">
        <v>542118</v>
      </c>
      <c r="F61" s="122">
        <v>540925</v>
      </c>
      <c r="G61" s="200" t="s">
        <v>457</v>
      </c>
      <c r="H61" s="122">
        <v>1193</v>
      </c>
      <c r="I61" s="122">
        <v>4962</v>
      </c>
      <c r="J61" s="122">
        <v>1358</v>
      </c>
      <c r="K61" s="122">
        <v>3604</v>
      </c>
      <c r="L61" s="122">
        <v>-2411</v>
      </c>
    </row>
    <row r="62" spans="1:12" ht="15" customHeight="1" x14ac:dyDescent="0.2">
      <c r="A62" s="103" t="s">
        <v>18</v>
      </c>
      <c r="B62" s="198" t="s">
        <v>53</v>
      </c>
      <c r="C62" s="37" t="s">
        <v>54</v>
      </c>
      <c r="D62" s="103">
        <v>175</v>
      </c>
      <c r="E62" s="122">
        <v>14414274</v>
      </c>
      <c r="F62" s="122">
        <v>3800000</v>
      </c>
      <c r="G62" s="200" t="s">
        <v>457</v>
      </c>
      <c r="H62" s="122">
        <v>10614274</v>
      </c>
      <c r="I62" s="201">
        <v>0</v>
      </c>
      <c r="J62" s="201">
        <v>0</v>
      </c>
      <c r="K62" s="201">
        <v>0</v>
      </c>
      <c r="L62" s="122">
        <v>10614274</v>
      </c>
    </row>
    <row r="63" spans="1:12" ht="15" customHeight="1" x14ac:dyDescent="0.2">
      <c r="A63" s="103" t="s">
        <v>18</v>
      </c>
      <c r="B63" s="198" t="s">
        <v>57</v>
      </c>
      <c r="C63" s="37" t="s">
        <v>58</v>
      </c>
      <c r="D63" s="103">
        <v>163</v>
      </c>
      <c r="E63" s="122">
        <v>26713</v>
      </c>
      <c r="F63" s="201">
        <v>0</v>
      </c>
      <c r="G63" s="200" t="s">
        <v>457</v>
      </c>
      <c r="H63" s="122">
        <v>26713</v>
      </c>
      <c r="I63" s="201">
        <v>0</v>
      </c>
      <c r="J63" s="201">
        <v>0</v>
      </c>
      <c r="K63" s="201">
        <v>0</v>
      </c>
      <c r="L63" s="122">
        <v>26713</v>
      </c>
    </row>
    <row r="64" spans="1:12" ht="15" customHeight="1" x14ac:dyDescent="0.2">
      <c r="A64" s="103" t="s">
        <v>18</v>
      </c>
      <c r="B64" s="198" t="s">
        <v>61</v>
      </c>
      <c r="C64" s="37" t="s">
        <v>62</v>
      </c>
      <c r="D64" s="103">
        <v>372</v>
      </c>
      <c r="E64" s="122">
        <v>1590613</v>
      </c>
      <c r="F64" s="122">
        <v>1329923</v>
      </c>
      <c r="G64" s="200" t="s">
        <v>457</v>
      </c>
      <c r="H64" s="122">
        <v>260690</v>
      </c>
      <c r="I64" s="122">
        <v>9073</v>
      </c>
      <c r="J64" s="201">
        <v>0</v>
      </c>
      <c r="K64" s="122">
        <v>9073</v>
      </c>
      <c r="L64" s="122">
        <v>251617</v>
      </c>
    </row>
    <row r="65" spans="1:12" ht="15" customHeight="1" x14ac:dyDescent="0.2">
      <c r="A65" s="103" t="s">
        <v>18</v>
      </c>
      <c r="B65" s="198" t="s">
        <v>431</v>
      </c>
      <c r="C65" s="37" t="s">
        <v>432</v>
      </c>
      <c r="D65" s="103">
        <v>377</v>
      </c>
      <c r="E65" s="122">
        <v>2867224</v>
      </c>
      <c r="F65" s="122">
        <v>2856610</v>
      </c>
      <c r="G65" s="200" t="s">
        <v>457</v>
      </c>
      <c r="H65" s="122">
        <v>10614</v>
      </c>
      <c r="I65" s="201">
        <v>0</v>
      </c>
      <c r="J65" s="201">
        <v>0</v>
      </c>
      <c r="K65" s="201">
        <v>0</v>
      </c>
      <c r="L65" s="122">
        <v>10614</v>
      </c>
    </row>
    <row r="66" spans="1:12" x14ac:dyDescent="0.2">
      <c r="A66" s="202" t="s">
        <v>374</v>
      </c>
      <c r="B66" s="203" t="s">
        <v>464</v>
      </c>
      <c r="C66" s="203" t="s">
        <v>464</v>
      </c>
      <c r="D66" s="203" t="s">
        <v>464</v>
      </c>
      <c r="E66" s="117">
        <f>SUBTOTAL(109,local201819[Program
Costs])</f>
        <v>53906555</v>
      </c>
      <c r="F66" s="117">
        <f>SUBTOTAL(109,local201819[Less: Net 
Payments
 and Offsets 1])</f>
        <v>35485148</v>
      </c>
      <c r="G66" s="203" t="s">
        <v>464</v>
      </c>
      <c r="H66" s="117">
        <f>SUBTOTAL(109,local201819[Accounts Payable
Balance])</f>
        <v>18421407</v>
      </c>
      <c r="I66" s="117">
        <f>SUBTOTAL(109,local201819[Established
Accounts Receivable])</f>
        <v>1511987</v>
      </c>
      <c r="J66" s="117">
        <f>SUBTOTAL(109,local201819[Less: 
Recovered 
Amount])</f>
        <v>418078</v>
      </c>
      <c r="K66" s="117">
        <f>SUBTOTAL(109,local201819[Accounts Receivable
Balance])</f>
        <v>1093909</v>
      </c>
      <c r="L66" s="117">
        <f>SUBTOTAL(109,local201819[Net
Balance])</f>
        <v>17327498</v>
      </c>
    </row>
    <row r="67" spans="1:12" ht="15.75" customHeight="1" x14ac:dyDescent="0.2">
      <c r="A67" s="169" t="s">
        <v>463</v>
      </c>
      <c r="B67" s="198"/>
      <c r="C67" s="37"/>
      <c r="D67" s="103"/>
      <c r="E67" s="122"/>
      <c r="F67" s="122"/>
      <c r="G67" s="122"/>
      <c r="H67" s="122"/>
      <c r="I67" s="122"/>
      <c r="J67" s="122"/>
      <c r="K67" s="122"/>
      <c r="L67" s="122"/>
    </row>
    <row r="68" spans="1:12" ht="50.1" customHeight="1" x14ac:dyDescent="0.2">
      <c r="A68" s="40" t="s">
        <v>1</v>
      </c>
      <c r="B68" s="40" t="s">
        <v>15</v>
      </c>
      <c r="C68" s="40" t="s">
        <v>16</v>
      </c>
      <c r="D68" s="193" t="s">
        <v>454</v>
      </c>
      <c r="E68" s="194" t="s">
        <v>3</v>
      </c>
      <c r="F68" s="40" t="s">
        <v>587</v>
      </c>
      <c r="G68" s="196" t="s">
        <v>462</v>
      </c>
      <c r="H68" s="197" t="s">
        <v>461</v>
      </c>
      <c r="I68" s="197" t="s">
        <v>460</v>
      </c>
      <c r="J68" s="197" t="s">
        <v>459</v>
      </c>
      <c r="K68" s="197" t="s">
        <v>458</v>
      </c>
      <c r="L68" s="197" t="s">
        <v>17</v>
      </c>
    </row>
    <row r="69" spans="1:12" ht="15.75" customHeight="1" x14ac:dyDescent="0.2">
      <c r="A69" s="103" t="s">
        <v>63</v>
      </c>
      <c r="B69" s="198" t="s">
        <v>19</v>
      </c>
      <c r="C69" s="37" t="s">
        <v>20</v>
      </c>
      <c r="D69" s="103">
        <v>246</v>
      </c>
      <c r="E69" s="122">
        <v>1963745</v>
      </c>
      <c r="F69" s="122">
        <v>1944872</v>
      </c>
      <c r="G69" s="200" t="s">
        <v>457</v>
      </c>
      <c r="H69" s="122">
        <v>18873</v>
      </c>
      <c r="I69" s="122">
        <v>7614</v>
      </c>
      <c r="J69" s="122">
        <v>7614</v>
      </c>
      <c r="K69" s="201">
        <v>0</v>
      </c>
      <c r="L69" s="122">
        <v>18873</v>
      </c>
    </row>
    <row r="70" spans="1:12" ht="15.75" customHeight="1" x14ac:dyDescent="0.2">
      <c r="A70" s="103" t="s">
        <v>63</v>
      </c>
      <c r="B70" s="198" t="s">
        <v>21</v>
      </c>
      <c r="C70" s="37" t="s">
        <v>22</v>
      </c>
      <c r="D70" s="103">
        <v>152</v>
      </c>
      <c r="E70" s="122">
        <v>711707</v>
      </c>
      <c r="F70" s="122">
        <v>584999</v>
      </c>
      <c r="G70" s="200" t="s">
        <v>457</v>
      </c>
      <c r="H70" s="122">
        <v>126708</v>
      </c>
      <c r="I70" s="201">
        <v>0</v>
      </c>
      <c r="J70" s="201">
        <v>0</v>
      </c>
      <c r="K70" s="201">
        <v>0</v>
      </c>
      <c r="L70" s="122">
        <v>126708</v>
      </c>
    </row>
    <row r="71" spans="1:12" ht="15.75" customHeight="1" x14ac:dyDescent="0.2">
      <c r="A71" s="103" t="s">
        <v>63</v>
      </c>
      <c r="B71" s="198" t="s">
        <v>25</v>
      </c>
      <c r="C71" s="37" t="s">
        <v>26</v>
      </c>
      <c r="D71" s="103">
        <v>262</v>
      </c>
      <c r="E71" s="122">
        <v>173499</v>
      </c>
      <c r="F71" s="122">
        <v>172453</v>
      </c>
      <c r="G71" s="200" t="s">
        <v>457</v>
      </c>
      <c r="H71" s="122">
        <v>1046</v>
      </c>
      <c r="I71" s="201">
        <v>0</v>
      </c>
      <c r="J71" s="201">
        <v>0</v>
      </c>
      <c r="K71" s="201">
        <v>0</v>
      </c>
      <c r="L71" s="122">
        <v>1046</v>
      </c>
    </row>
    <row r="72" spans="1:12" ht="15.75" customHeight="1" x14ac:dyDescent="0.2">
      <c r="A72" s="103" t="s">
        <v>63</v>
      </c>
      <c r="B72" s="198" t="s">
        <v>27</v>
      </c>
      <c r="C72" s="37" t="s">
        <v>28</v>
      </c>
      <c r="D72" s="103">
        <v>13</v>
      </c>
      <c r="E72" s="122">
        <v>11661261</v>
      </c>
      <c r="F72" s="122">
        <v>11661261</v>
      </c>
      <c r="G72" s="200" t="s">
        <v>457</v>
      </c>
      <c r="H72" s="201">
        <v>0</v>
      </c>
      <c r="I72" s="122">
        <v>1219666</v>
      </c>
      <c r="J72" s="122">
        <v>190536</v>
      </c>
      <c r="K72" s="122">
        <v>1029130</v>
      </c>
      <c r="L72" s="122">
        <v>-1029130</v>
      </c>
    </row>
    <row r="73" spans="1:12" ht="15.75" customHeight="1" x14ac:dyDescent="0.2">
      <c r="A73" s="103" t="s">
        <v>63</v>
      </c>
      <c r="B73" s="198" t="s">
        <v>29</v>
      </c>
      <c r="C73" s="37" t="s">
        <v>30</v>
      </c>
      <c r="D73" s="103">
        <v>167</v>
      </c>
      <c r="E73" s="122">
        <v>9650123</v>
      </c>
      <c r="F73" s="122">
        <v>9508028</v>
      </c>
      <c r="G73" s="200" t="s">
        <v>457</v>
      </c>
      <c r="H73" s="122">
        <v>142095</v>
      </c>
      <c r="I73" s="201">
        <v>0</v>
      </c>
      <c r="J73" s="201">
        <v>0</v>
      </c>
      <c r="K73" s="201">
        <v>0</v>
      </c>
      <c r="L73" s="122">
        <v>142095</v>
      </c>
    </row>
    <row r="74" spans="1:12" ht="15.75" customHeight="1" x14ac:dyDescent="0.2">
      <c r="A74" s="103" t="s">
        <v>63</v>
      </c>
      <c r="B74" s="198" t="s">
        <v>31</v>
      </c>
      <c r="C74" s="37" t="s">
        <v>32</v>
      </c>
      <c r="D74" s="103">
        <v>274</v>
      </c>
      <c r="E74" s="122">
        <v>2411035</v>
      </c>
      <c r="F74" s="122">
        <v>2215741</v>
      </c>
      <c r="G74" s="200" t="s">
        <v>457</v>
      </c>
      <c r="H74" s="122">
        <v>195294</v>
      </c>
      <c r="I74" s="122">
        <v>5256</v>
      </c>
      <c r="J74" s="122">
        <v>5256</v>
      </c>
      <c r="K74" s="201">
        <v>0</v>
      </c>
      <c r="L74" s="122">
        <v>195294</v>
      </c>
    </row>
    <row r="75" spans="1:12" ht="30" customHeight="1" x14ac:dyDescent="0.2">
      <c r="A75" s="103" t="s">
        <v>63</v>
      </c>
      <c r="B75" s="198" t="s">
        <v>590</v>
      </c>
      <c r="C75" s="37" t="s">
        <v>38</v>
      </c>
      <c r="D75" s="103">
        <v>371</v>
      </c>
      <c r="E75" s="122">
        <v>204115</v>
      </c>
      <c r="F75" s="122">
        <v>201582</v>
      </c>
      <c r="G75" s="200" t="s">
        <v>457</v>
      </c>
      <c r="H75" s="122">
        <v>2533</v>
      </c>
      <c r="I75" s="201">
        <v>0</v>
      </c>
      <c r="J75" s="201">
        <v>0</v>
      </c>
      <c r="K75" s="201">
        <v>0</v>
      </c>
      <c r="L75" s="122">
        <v>2533</v>
      </c>
    </row>
    <row r="76" spans="1:12" ht="30" customHeight="1" x14ac:dyDescent="0.2">
      <c r="A76" s="103" t="s">
        <v>63</v>
      </c>
      <c r="B76" s="198" t="s">
        <v>45</v>
      </c>
      <c r="C76" s="37" t="s">
        <v>46</v>
      </c>
      <c r="D76" s="103">
        <v>264</v>
      </c>
      <c r="E76" s="122">
        <v>807139</v>
      </c>
      <c r="F76" s="122">
        <v>806978</v>
      </c>
      <c r="G76" s="200" t="s">
        <v>457</v>
      </c>
      <c r="H76" s="122">
        <v>161</v>
      </c>
      <c r="I76" s="122">
        <v>2199</v>
      </c>
      <c r="J76" s="122">
        <v>2199</v>
      </c>
      <c r="K76" s="201">
        <v>0</v>
      </c>
      <c r="L76" s="122">
        <v>161</v>
      </c>
    </row>
    <row r="77" spans="1:12" ht="15" customHeight="1" x14ac:dyDescent="0.2">
      <c r="A77" s="103" t="s">
        <v>63</v>
      </c>
      <c r="B77" s="198" t="s">
        <v>47</v>
      </c>
      <c r="C77" s="37" t="s">
        <v>48</v>
      </c>
      <c r="D77" s="103">
        <v>187</v>
      </c>
      <c r="E77" s="122">
        <v>6705629</v>
      </c>
      <c r="F77" s="201">
        <v>0</v>
      </c>
      <c r="G77" s="200" t="s">
        <v>457</v>
      </c>
      <c r="H77" s="122">
        <v>6705629</v>
      </c>
      <c r="I77" s="201">
        <v>0</v>
      </c>
      <c r="J77" s="201">
        <v>0</v>
      </c>
      <c r="K77" s="201">
        <v>0</v>
      </c>
      <c r="L77" s="122">
        <v>6705629</v>
      </c>
    </row>
    <row r="78" spans="1:12" ht="15" customHeight="1" x14ac:dyDescent="0.2">
      <c r="A78" s="103" t="s">
        <v>63</v>
      </c>
      <c r="B78" s="198" t="s">
        <v>49</v>
      </c>
      <c r="C78" s="37" t="s">
        <v>50</v>
      </c>
      <c r="D78" s="103">
        <v>121</v>
      </c>
      <c r="E78" s="122">
        <v>64723</v>
      </c>
      <c r="F78" s="122">
        <v>46000</v>
      </c>
      <c r="G78" s="200" t="s">
        <v>457</v>
      </c>
      <c r="H78" s="122">
        <v>18723</v>
      </c>
      <c r="I78" s="201">
        <v>0</v>
      </c>
      <c r="J78" s="201">
        <v>0</v>
      </c>
      <c r="K78" s="201">
        <v>0</v>
      </c>
      <c r="L78" s="122">
        <v>18723</v>
      </c>
    </row>
    <row r="79" spans="1:12" ht="15" customHeight="1" x14ac:dyDescent="0.2">
      <c r="A79" s="103" t="s">
        <v>63</v>
      </c>
      <c r="B79" s="198" t="s">
        <v>53</v>
      </c>
      <c r="C79" s="37" t="s">
        <v>54</v>
      </c>
      <c r="D79" s="103">
        <v>175</v>
      </c>
      <c r="E79" s="122">
        <v>13876472</v>
      </c>
      <c r="F79" s="122">
        <v>3688999</v>
      </c>
      <c r="G79" s="200" t="s">
        <v>457</v>
      </c>
      <c r="H79" s="122">
        <v>10187473</v>
      </c>
      <c r="I79" s="201">
        <v>0</v>
      </c>
      <c r="J79" s="201">
        <v>0</v>
      </c>
      <c r="K79" s="201">
        <v>0</v>
      </c>
      <c r="L79" s="122">
        <v>10187473</v>
      </c>
    </row>
    <row r="80" spans="1:12" ht="15" customHeight="1" x14ac:dyDescent="0.2">
      <c r="A80" s="103" t="s">
        <v>63</v>
      </c>
      <c r="B80" s="198" t="s">
        <v>55</v>
      </c>
      <c r="C80" s="37" t="s">
        <v>56</v>
      </c>
      <c r="D80" s="103">
        <v>360</v>
      </c>
      <c r="E80" s="122">
        <v>705372</v>
      </c>
      <c r="F80" s="122">
        <v>703084</v>
      </c>
      <c r="G80" s="200" t="s">
        <v>457</v>
      </c>
      <c r="H80" s="122">
        <v>2288</v>
      </c>
      <c r="I80" s="201">
        <v>0</v>
      </c>
      <c r="J80" s="201">
        <v>0</v>
      </c>
      <c r="K80" s="201">
        <v>0</v>
      </c>
      <c r="L80" s="122">
        <v>2288</v>
      </c>
    </row>
    <row r="81" spans="1:12" ht="15" customHeight="1" x14ac:dyDescent="0.2">
      <c r="A81" s="103" t="s">
        <v>63</v>
      </c>
      <c r="B81" s="198" t="s">
        <v>57</v>
      </c>
      <c r="C81" s="37" t="s">
        <v>58</v>
      </c>
      <c r="D81" s="103">
        <v>163</v>
      </c>
      <c r="E81" s="122">
        <v>12770</v>
      </c>
      <c r="F81" s="201">
        <v>0</v>
      </c>
      <c r="G81" s="200" t="s">
        <v>457</v>
      </c>
      <c r="H81" s="122">
        <v>12770</v>
      </c>
      <c r="I81" s="201">
        <v>0</v>
      </c>
      <c r="J81" s="201">
        <v>0</v>
      </c>
      <c r="K81" s="201">
        <v>0</v>
      </c>
      <c r="L81" s="122">
        <v>12770</v>
      </c>
    </row>
    <row r="82" spans="1:12" ht="15" customHeight="1" x14ac:dyDescent="0.2">
      <c r="A82" s="103" t="s">
        <v>63</v>
      </c>
      <c r="B82" s="198" t="s">
        <v>61</v>
      </c>
      <c r="C82" s="37" t="s">
        <v>62</v>
      </c>
      <c r="D82" s="103">
        <v>372</v>
      </c>
      <c r="E82" s="122">
        <v>1338274</v>
      </c>
      <c r="F82" s="122">
        <v>813201</v>
      </c>
      <c r="G82" s="200" t="s">
        <v>457</v>
      </c>
      <c r="H82" s="122">
        <v>525073</v>
      </c>
      <c r="I82" s="201">
        <v>0</v>
      </c>
      <c r="J82" s="201">
        <v>0</v>
      </c>
      <c r="K82" s="201">
        <v>0</v>
      </c>
      <c r="L82" s="122">
        <v>525073</v>
      </c>
    </row>
    <row r="83" spans="1:12" ht="15" customHeight="1" x14ac:dyDescent="0.2">
      <c r="A83" s="202" t="s">
        <v>375</v>
      </c>
      <c r="B83" s="203" t="s">
        <v>464</v>
      </c>
      <c r="C83" s="203" t="s">
        <v>464</v>
      </c>
      <c r="D83" s="203" t="s">
        <v>464</v>
      </c>
      <c r="E83" s="117">
        <f>SUBTOTAL(109,local201718[Program
Costs])</f>
        <v>50285864</v>
      </c>
      <c r="F83" s="117">
        <f>SUBTOTAL(109,local201718[Less: Net 
Payments
 and Offsets 1])</f>
        <v>32347198</v>
      </c>
      <c r="G83" s="203" t="s">
        <v>464</v>
      </c>
      <c r="H83" s="117">
        <f>SUBTOTAL(109,local201718[Accounts Payable
Balance])</f>
        <v>17938666</v>
      </c>
      <c r="I83" s="117">
        <f>SUBTOTAL(109,local201718[Established
Accounts Receivable])</f>
        <v>1234735</v>
      </c>
      <c r="J83" s="117">
        <f>SUBTOTAL(109,local201718[Less: 
Recovered 
Amount])</f>
        <v>205605</v>
      </c>
      <c r="K83" s="117">
        <f>SUBTOTAL(109,local201718[Accounts Receivable
Balance])</f>
        <v>1029130</v>
      </c>
      <c r="L83" s="117">
        <f>SUBTOTAL(109,local201718[Net
Balance])</f>
        <v>16909536</v>
      </c>
    </row>
    <row r="84" spans="1:12" ht="15.75" customHeight="1" x14ac:dyDescent="0.2">
      <c r="A84" s="169" t="s">
        <v>463</v>
      </c>
      <c r="B84" s="198"/>
      <c r="C84" s="37"/>
      <c r="D84" s="103"/>
      <c r="E84" s="122"/>
      <c r="F84" s="122"/>
      <c r="G84" s="122"/>
      <c r="H84" s="122"/>
      <c r="I84" s="122"/>
      <c r="J84" s="122"/>
      <c r="K84" s="122"/>
      <c r="L84" s="122"/>
    </row>
    <row r="85" spans="1:12" ht="50.1" customHeight="1" x14ac:dyDescent="0.2">
      <c r="A85" s="40" t="s">
        <v>1</v>
      </c>
      <c r="B85" s="40" t="s">
        <v>15</v>
      </c>
      <c r="C85" s="40" t="s">
        <v>16</v>
      </c>
      <c r="D85" s="193" t="s">
        <v>454</v>
      </c>
      <c r="E85" s="194" t="s">
        <v>3</v>
      </c>
      <c r="F85" s="40" t="s">
        <v>587</v>
      </c>
      <c r="G85" s="196" t="s">
        <v>462</v>
      </c>
      <c r="H85" s="197" t="s">
        <v>461</v>
      </c>
      <c r="I85" s="197" t="s">
        <v>460</v>
      </c>
      <c r="J85" s="197" t="s">
        <v>459</v>
      </c>
      <c r="K85" s="197" t="s">
        <v>458</v>
      </c>
      <c r="L85" s="197" t="s">
        <v>17</v>
      </c>
    </row>
    <row r="86" spans="1:12" ht="15" customHeight="1" x14ac:dyDescent="0.2">
      <c r="A86" s="103" t="s">
        <v>64</v>
      </c>
      <c r="B86" s="198" t="s">
        <v>27</v>
      </c>
      <c r="C86" s="37" t="s">
        <v>28</v>
      </c>
      <c r="D86" s="103">
        <v>13</v>
      </c>
      <c r="E86" s="122">
        <v>11366616</v>
      </c>
      <c r="F86" s="122">
        <v>11366616</v>
      </c>
      <c r="G86" s="200" t="s">
        <v>457</v>
      </c>
      <c r="H86" s="201">
        <v>0</v>
      </c>
      <c r="I86" s="122">
        <v>1190119</v>
      </c>
      <c r="J86" s="122">
        <v>141772</v>
      </c>
      <c r="K86" s="122">
        <v>1048347</v>
      </c>
      <c r="L86" s="122">
        <v>-1048347</v>
      </c>
    </row>
    <row r="87" spans="1:12" ht="15" customHeight="1" x14ac:dyDescent="0.2">
      <c r="A87" s="103" t="s">
        <v>64</v>
      </c>
      <c r="B87" s="198" t="s">
        <v>29</v>
      </c>
      <c r="C87" s="37" t="s">
        <v>30</v>
      </c>
      <c r="D87" s="103">
        <v>167</v>
      </c>
      <c r="E87" s="122">
        <v>9483538</v>
      </c>
      <c r="F87" s="122">
        <v>9483538</v>
      </c>
      <c r="G87" s="200" t="s">
        <v>457</v>
      </c>
      <c r="H87" s="201">
        <v>0</v>
      </c>
      <c r="I87" s="122">
        <v>32867</v>
      </c>
      <c r="J87" s="122">
        <v>32185</v>
      </c>
      <c r="K87" s="122">
        <v>682</v>
      </c>
      <c r="L87" s="122">
        <v>-682</v>
      </c>
    </row>
    <row r="88" spans="1:12" ht="30" customHeight="1" x14ac:dyDescent="0.2">
      <c r="A88" s="103" t="s">
        <v>64</v>
      </c>
      <c r="B88" s="198" t="s">
        <v>590</v>
      </c>
      <c r="C88" s="37" t="s">
        <v>38</v>
      </c>
      <c r="D88" s="103">
        <v>371</v>
      </c>
      <c r="E88" s="122">
        <v>484645</v>
      </c>
      <c r="F88" s="122">
        <v>326114</v>
      </c>
      <c r="G88" s="200" t="s">
        <v>457</v>
      </c>
      <c r="H88" s="122">
        <v>158531</v>
      </c>
      <c r="I88" s="201">
        <v>0</v>
      </c>
      <c r="J88" s="201">
        <v>0</v>
      </c>
      <c r="K88" s="201">
        <v>0</v>
      </c>
      <c r="L88" s="122">
        <v>158531</v>
      </c>
    </row>
    <row r="89" spans="1:12" ht="15" customHeight="1" x14ac:dyDescent="0.2">
      <c r="A89" s="103" t="s">
        <v>64</v>
      </c>
      <c r="B89" s="198" t="s">
        <v>47</v>
      </c>
      <c r="C89" s="37" t="s">
        <v>48</v>
      </c>
      <c r="D89" s="103">
        <v>187</v>
      </c>
      <c r="E89" s="122">
        <v>7056213</v>
      </c>
      <c r="F89" s="201">
        <v>0</v>
      </c>
      <c r="G89" s="200" t="s">
        <v>457</v>
      </c>
      <c r="H89" s="122">
        <v>7056213</v>
      </c>
      <c r="I89" s="201">
        <v>0</v>
      </c>
      <c r="J89" s="201">
        <v>0</v>
      </c>
      <c r="K89" s="201">
        <v>0</v>
      </c>
      <c r="L89" s="122">
        <v>7056213</v>
      </c>
    </row>
    <row r="90" spans="1:12" ht="15" customHeight="1" x14ac:dyDescent="0.2">
      <c r="A90" s="103" t="s">
        <v>64</v>
      </c>
      <c r="B90" s="198" t="s">
        <v>57</v>
      </c>
      <c r="C90" s="37" t="s">
        <v>58</v>
      </c>
      <c r="D90" s="103">
        <v>163</v>
      </c>
      <c r="E90" s="122">
        <v>55019</v>
      </c>
      <c r="F90" s="201">
        <v>0</v>
      </c>
      <c r="G90" s="200" t="s">
        <v>457</v>
      </c>
      <c r="H90" s="122">
        <v>55019</v>
      </c>
      <c r="I90" s="201">
        <v>0</v>
      </c>
      <c r="J90" s="201">
        <v>0</v>
      </c>
      <c r="K90" s="201">
        <v>0</v>
      </c>
      <c r="L90" s="122">
        <v>55019</v>
      </c>
    </row>
    <row r="91" spans="1:12" ht="15" customHeight="1" x14ac:dyDescent="0.2">
      <c r="A91" s="103" t="s">
        <v>64</v>
      </c>
      <c r="B91" s="198" t="s">
        <v>61</v>
      </c>
      <c r="C91" s="37" t="s">
        <v>62</v>
      </c>
      <c r="D91" s="103">
        <v>372</v>
      </c>
      <c r="E91" s="122">
        <v>1363117</v>
      </c>
      <c r="F91" s="122">
        <v>1284690</v>
      </c>
      <c r="G91" s="200" t="s">
        <v>457</v>
      </c>
      <c r="H91" s="122">
        <v>78427</v>
      </c>
      <c r="I91" s="201">
        <v>0</v>
      </c>
      <c r="J91" s="201">
        <v>0</v>
      </c>
      <c r="K91" s="201">
        <v>0</v>
      </c>
      <c r="L91" s="122">
        <v>78427</v>
      </c>
    </row>
    <row r="92" spans="1:12" ht="15" customHeight="1" x14ac:dyDescent="0.2">
      <c r="A92" s="202" t="s">
        <v>376</v>
      </c>
      <c r="B92" s="203" t="s">
        <v>464</v>
      </c>
      <c r="C92" s="203" t="s">
        <v>464</v>
      </c>
      <c r="D92" s="203" t="s">
        <v>464</v>
      </c>
      <c r="E92" s="117">
        <f>SUBTOTAL(109,local201617[Program
Costs])</f>
        <v>29809148</v>
      </c>
      <c r="F92" s="117">
        <f>SUBTOTAL(109,local201617[Less: Net 
Payments
 and Offsets 1])</f>
        <v>22460958</v>
      </c>
      <c r="G92" s="203" t="s">
        <v>464</v>
      </c>
      <c r="H92" s="117">
        <f>SUBTOTAL(109,local201617[Accounts Payable
Balance])</f>
        <v>7348190</v>
      </c>
      <c r="I92" s="117">
        <f>SUBTOTAL(109,local201617[Established
Accounts Receivable])</f>
        <v>1222986</v>
      </c>
      <c r="J92" s="117">
        <f>SUBTOTAL(109,local201617[Less: 
Recovered 
Amount])</f>
        <v>173957</v>
      </c>
      <c r="K92" s="117">
        <f>SUBTOTAL(109,local201617[Accounts Receivable
Balance])</f>
        <v>1049029</v>
      </c>
      <c r="L92" s="117">
        <f>SUBTOTAL(109,local201617[Net
Balance])</f>
        <v>6299161</v>
      </c>
    </row>
    <row r="93" spans="1:12" ht="15.75" customHeight="1" x14ac:dyDescent="0.2">
      <c r="A93" s="169" t="s">
        <v>463</v>
      </c>
      <c r="B93" s="198"/>
      <c r="C93" s="37"/>
      <c r="D93" s="103"/>
      <c r="E93" s="122"/>
      <c r="F93" s="122"/>
      <c r="G93" s="122"/>
      <c r="H93" s="122"/>
      <c r="I93" s="122"/>
      <c r="J93" s="122"/>
      <c r="K93" s="122"/>
      <c r="L93" s="122"/>
    </row>
    <row r="94" spans="1:12" ht="50.1" customHeight="1" x14ac:dyDescent="0.2">
      <c r="A94" s="40" t="s">
        <v>1</v>
      </c>
      <c r="B94" s="40" t="s">
        <v>15</v>
      </c>
      <c r="C94" s="40" t="s">
        <v>16</v>
      </c>
      <c r="D94" s="193" t="s">
        <v>454</v>
      </c>
      <c r="E94" s="194" t="s">
        <v>3</v>
      </c>
      <c r="F94" s="40" t="s">
        <v>587</v>
      </c>
      <c r="G94" s="196" t="s">
        <v>462</v>
      </c>
      <c r="H94" s="197" t="s">
        <v>461</v>
      </c>
      <c r="I94" s="197" t="s">
        <v>460</v>
      </c>
      <c r="J94" s="197" t="s">
        <v>459</v>
      </c>
      <c r="K94" s="197" t="s">
        <v>458</v>
      </c>
      <c r="L94" s="197" t="s">
        <v>17</v>
      </c>
    </row>
    <row r="95" spans="1:12" ht="15" customHeight="1" x14ac:dyDescent="0.2">
      <c r="A95" s="103" t="s">
        <v>65</v>
      </c>
      <c r="B95" s="198" t="s">
        <v>27</v>
      </c>
      <c r="C95" s="37" t="s">
        <v>28</v>
      </c>
      <c r="D95" s="103">
        <v>13</v>
      </c>
      <c r="E95" s="122">
        <v>11151509</v>
      </c>
      <c r="F95" s="122">
        <v>11151509</v>
      </c>
      <c r="G95" s="200" t="s">
        <v>457</v>
      </c>
      <c r="H95" s="201">
        <v>0</v>
      </c>
      <c r="I95" s="122">
        <v>1183327</v>
      </c>
      <c r="J95" s="122">
        <v>150958</v>
      </c>
      <c r="K95" s="122">
        <v>1032369</v>
      </c>
      <c r="L95" s="122">
        <v>-1032369</v>
      </c>
    </row>
    <row r="96" spans="1:12" ht="15" customHeight="1" x14ac:dyDescent="0.2">
      <c r="A96" s="103" t="s">
        <v>65</v>
      </c>
      <c r="B96" s="198" t="s">
        <v>31</v>
      </c>
      <c r="C96" s="37" t="s">
        <v>32</v>
      </c>
      <c r="D96" s="103">
        <v>274</v>
      </c>
      <c r="E96" s="122">
        <v>2188022</v>
      </c>
      <c r="F96" s="122">
        <v>2188022</v>
      </c>
      <c r="G96" s="200" t="s">
        <v>457</v>
      </c>
      <c r="H96" s="201">
        <v>0</v>
      </c>
      <c r="I96" s="122">
        <v>1211</v>
      </c>
      <c r="J96" s="122">
        <v>711</v>
      </c>
      <c r="K96" s="122">
        <v>500</v>
      </c>
      <c r="L96" s="122">
        <v>-500</v>
      </c>
    </row>
    <row r="97" spans="1:12" ht="15" customHeight="1" x14ac:dyDescent="0.2">
      <c r="A97" s="103" t="s">
        <v>65</v>
      </c>
      <c r="B97" s="198" t="s">
        <v>47</v>
      </c>
      <c r="C97" s="37" t="s">
        <v>48</v>
      </c>
      <c r="D97" s="103">
        <v>187</v>
      </c>
      <c r="E97" s="122">
        <v>6167307</v>
      </c>
      <c r="F97" s="201">
        <v>0</v>
      </c>
      <c r="G97" s="200" t="s">
        <v>457</v>
      </c>
      <c r="H97" s="122">
        <v>6167307</v>
      </c>
      <c r="I97" s="201">
        <v>0</v>
      </c>
      <c r="J97" s="201">
        <v>0</v>
      </c>
      <c r="K97" s="201">
        <v>0</v>
      </c>
      <c r="L97" s="122">
        <v>6167307</v>
      </c>
    </row>
    <row r="98" spans="1:12" ht="15" customHeight="1" x14ac:dyDescent="0.2">
      <c r="A98" s="103" t="s">
        <v>65</v>
      </c>
      <c r="B98" s="198" t="s">
        <v>61</v>
      </c>
      <c r="C98" s="37" t="s">
        <v>62</v>
      </c>
      <c r="D98" s="103">
        <v>372</v>
      </c>
      <c r="E98" s="122">
        <v>1266852</v>
      </c>
      <c r="F98" s="122">
        <v>1202109</v>
      </c>
      <c r="G98" s="200" t="s">
        <v>457</v>
      </c>
      <c r="H98" s="122">
        <v>64743</v>
      </c>
      <c r="I98" s="201">
        <v>0</v>
      </c>
      <c r="J98" s="201">
        <v>0</v>
      </c>
      <c r="K98" s="201">
        <v>0</v>
      </c>
      <c r="L98" s="122">
        <v>64743</v>
      </c>
    </row>
    <row r="99" spans="1:12" ht="15" customHeight="1" x14ac:dyDescent="0.2">
      <c r="A99" s="202" t="s">
        <v>377</v>
      </c>
      <c r="B99" s="203" t="s">
        <v>464</v>
      </c>
      <c r="C99" s="203" t="s">
        <v>464</v>
      </c>
      <c r="D99" s="203" t="s">
        <v>464</v>
      </c>
      <c r="E99" s="117">
        <f>SUBTOTAL(109,local201516[Program
Costs])</f>
        <v>20773690</v>
      </c>
      <c r="F99" s="117">
        <f>SUBTOTAL(109,local201516[Less: Net 
Payments
 and Offsets 1])</f>
        <v>14541640</v>
      </c>
      <c r="G99" s="203" t="s">
        <v>464</v>
      </c>
      <c r="H99" s="117">
        <f>SUBTOTAL(109,local201516[Accounts Payable
Balance])</f>
        <v>6232050</v>
      </c>
      <c r="I99" s="117">
        <f>SUBTOTAL(109,local201516[Established
Accounts Receivable])</f>
        <v>1184538</v>
      </c>
      <c r="J99" s="204">
        <f>SUBTOTAL(109,local201516[Less: 
Recovered 
Amount])</f>
        <v>151669</v>
      </c>
      <c r="K99" s="117">
        <f>SUBTOTAL(109,local201516[Accounts Receivable
Balance])</f>
        <v>1032869</v>
      </c>
      <c r="L99" s="117">
        <f>SUBTOTAL(109,local201516[Net
Balance])</f>
        <v>5199181</v>
      </c>
    </row>
    <row r="100" spans="1:12" ht="15.75" customHeight="1" x14ac:dyDescent="0.2">
      <c r="A100" s="169" t="s">
        <v>463</v>
      </c>
      <c r="B100" s="198"/>
      <c r="C100" s="37"/>
      <c r="D100" s="103"/>
      <c r="E100" s="122"/>
      <c r="F100" s="122"/>
      <c r="G100" s="122"/>
      <c r="H100" s="122"/>
      <c r="I100" s="122"/>
      <c r="J100" s="122"/>
      <c r="K100" s="122"/>
      <c r="L100" s="122"/>
    </row>
    <row r="101" spans="1:12" ht="50.1" customHeight="1" x14ac:dyDescent="0.2">
      <c r="A101" s="40" t="s">
        <v>1</v>
      </c>
      <c r="B101" s="40" t="s">
        <v>15</v>
      </c>
      <c r="C101" s="40" t="s">
        <v>16</v>
      </c>
      <c r="D101" s="193" t="s">
        <v>454</v>
      </c>
      <c r="E101" s="194" t="s">
        <v>3</v>
      </c>
      <c r="F101" s="40" t="s">
        <v>587</v>
      </c>
      <c r="G101" s="196" t="s">
        <v>462</v>
      </c>
      <c r="H101" s="197" t="s">
        <v>461</v>
      </c>
      <c r="I101" s="197" t="s">
        <v>460</v>
      </c>
      <c r="J101" s="197" t="s">
        <v>459</v>
      </c>
      <c r="K101" s="197" t="s">
        <v>458</v>
      </c>
      <c r="L101" s="197" t="s">
        <v>17</v>
      </c>
    </row>
    <row r="102" spans="1:12" ht="15" customHeight="1" x14ac:dyDescent="0.2">
      <c r="A102" s="103" t="s">
        <v>66</v>
      </c>
      <c r="B102" s="198" t="s">
        <v>590</v>
      </c>
      <c r="C102" s="37" t="s">
        <v>38</v>
      </c>
      <c r="D102" s="103">
        <v>371</v>
      </c>
      <c r="E102" s="122">
        <v>298477</v>
      </c>
      <c r="F102" s="122">
        <v>298477</v>
      </c>
      <c r="G102" s="200" t="s">
        <v>457</v>
      </c>
      <c r="H102" s="201">
        <v>0</v>
      </c>
      <c r="I102" s="122">
        <v>233747</v>
      </c>
      <c r="J102" s="201">
        <v>0</v>
      </c>
      <c r="K102" s="122">
        <v>233747</v>
      </c>
      <c r="L102" s="122">
        <v>-233747</v>
      </c>
    </row>
    <row r="103" spans="1:12" ht="15" customHeight="1" x14ac:dyDescent="0.2">
      <c r="A103" s="103" t="s">
        <v>66</v>
      </c>
      <c r="B103" s="198" t="s">
        <v>47</v>
      </c>
      <c r="C103" s="37" t="s">
        <v>48</v>
      </c>
      <c r="D103" s="103">
        <v>187</v>
      </c>
      <c r="E103" s="122">
        <v>6781918</v>
      </c>
      <c r="F103" s="201">
        <v>0</v>
      </c>
      <c r="G103" s="200" t="s">
        <v>457</v>
      </c>
      <c r="H103" s="122">
        <v>6781918</v>
      </c>
      <c r="I103" s="201">
        <v>0</v>
      </c>
      <c r="J103" s="201">
        <v>0</v>
      </c>
      <c r="K103" s="201">
        <v>0</v>
      </c>
      <c r="L103" s="122">
        <v>6781918</v>
      </c>
    </row>
    <row r="104" spans="1:12" ht="15" customHeight="1" x14ac:dyDescent="0.2">
      <c r="A104" s="202" t="s">
        <v>378</v>
      </c>
      <c r="B104" s="203" t="s">
        <v>464</v>
      </c>
      <c r="C104" s="203" t="s">
        <v>464</v>
      </c>
      <c r="D104" s="203" t="s">
        <v>464</v>
      </c>
      <c r="E104" s="117">
        <f>SUBTOTAL(109,local201415[Program
Costs])</f>
        <v>7080395</v>
      </c>
      <c r="F104" s="204">
        <f>SUBTOTAL(109,local201415[Less: Net 
Payments
 and Offsets 1])</f>
        <v>298477</v>
      </c>
      <c r="G104" s="203" t="s">
        <v>464</v>
      </c>
      <c r="H104" s="117">
        <f>SUBTOTAL(109,local201415[Accounts Payable
Balance])</f>
        <v>6781918</v>
      </c>
      <c r="I104" s="204">
        <f>SUBTOTAL(109,local201415[Established
Accounts Receivable])</f>
        <v>233747</v>
      </c>
      <c r="J104" s="204">
        <f>SUBTOTAL(109,local201415[Less: 
Recovered 
Amount])</f>
        <v>0</v>
      </c>
      <c r="K104" s="204">
        <f>SUBTOTAL(109,local201415[Accounts Receivable
Balance])</f>
        <v>233747</v>
      </c>
      <c r="L104" s="117">
        <f>SUBTOTAL(109,local201415[Net
Balance])</f>
        <v>6548171</v>
      </c>
    </row>
    <row r="105" spans="1:12" ht="15.75" customHeight="1" x14ac:dyDescent="0.2">
      <c r="A105" s="169" t="s">
        <v>463</v>
      </c>
      <c r="B105" s="198"/>
      <c r="C105" s="37"/>
      <c r="D105" s="103"/>
      <c r="E105" s="122"/>
      <c r="F105" s="122"/>
      <c r="G105" s="122"/>
      <c r="H105" s="122"/>
      <c r="I105" s="122"/>
      <c r="J105" s="122"/>
      <c r="K105" s="122"/>
      <c r="L105" s="122"/>
    </row>
    <row r="106" spans="1:12" ht="50.1" customHeight="1" x14ac:dyDescent="0.2">
      <c r="A106" s="40" t="s">
        <v>1</v>
      </c>
      <c r="B106" s="40" t="s">
        <v>15</v>
      </c>
      <c r="C106" s="40" t="s">
        <v>16</v>
      </c>
      <c r="D106" s="193" t="s">
        <v>454</v>
      </c>
      <c r="E106" s="194" t="s">
        <v>3</v>
      </c>
      <c r="F106" s="40" t="s">
        <v>587</v>
      </c>
      <c r="G106" s="196" t="s">
        <v>462</v>
      </c>
      <c r="H106" s="197" t="s">
        <v>461</v>
      </c>
      <c r="I106" s="197" t="s">
        <v>460</v>
      </c>
      <c r="J106" s="197" t="s">
        <v>459</v>
      </c>
      <c r="K106" s="197" t="s">
        <v>458</v>
      </c>
      <c r="L106" s="197" t="s">
        <v>17</v>
      </c>
    </row>
    <row r="107" spans="1:12" ht="15" customHeight="1" x14ac:dyDescent="0.2">
      <c r="A107" s="103" t="s">
        <v>67</v>
      </c>
      <c r="B107" s="198" t="s">
        <v>47</v>
      </c>
      <c r="C107" s="37" t="s">
        <v>48</v>
      </c>
      <c r="D107" s="103">
        <v>187</v>
      </c>
      <c r="E107" s="122">
        <v>6118565</v>
      </c>
      <c r="F107" s="201">
        <v>0</v>
      </c>
      <c r="G107" s="200" t="s">
        <v>457</v>
      </c>
      <c r="H107" s="122">
        <v>6118565</v>
      </c>
      <c r="I107" s="201">
        <v>0</v>
      </c>
      <c r="J107" s="201">
        <v>0</v>
      </c>
      <c r="K107" s="201">
        <v>0</v>
      </c>
      <c r="L107" s="122">
        <v>6118565</v>
      </c>
    </row>
    <row r="108" spans="1:12" ht="15" customHeight="1" x14ac:dyDescent="0.2">
      <c r="A108" s="202" t="s">
        <v>379</v>
      </c>
      <c r="B108" s="203" t="s">
        <v>464</v>
      </c>
      <c r="C108" s="203" t="s">
        <v>464</v>
      </c>
      <c r="D108" s="203" t="s">
        <v>464</v>
      </c>
      <c r="E108" s="117">
        <f>SUBTOTAL(109,local201314[Program
Costs])</f>
        <v>6118565</v>
      </c>
      <c r="F108" s="204">
        <f>SUBTOTAL(109,local201314[Less: Net 
Payments
 and Offsets 1])</f>
        <v>0</v>
      </c>
      <c r="G108" s="203" t="s">
        <v>464</v>
      </c>
      <c r="H108" s="117">
        <f>SUBTOTAL(109,local201314[Accounts Payable
Balance])</f>
        <v>6118565</v>
      </c>
      <c r="I108" s="204">
        <f>SUBTOTAL(109,local201314[Established
Accounts Receivable])</f>
        <v>0</v>
      </c>
      <c r="J108" s="204">
        <f>SUBTOTAL(109,local201314[Less: 
Recovered 
Amount])</f>
        <v>0</v>
      </c>
      <c r="K108" s="204">
        <f>SUBTOTAL(109,local201314[Accounts Receivable
Balance])</f>
        <v>0</v>
      </c>
      <c r="L108" s="117">
        <f>SUBTOTAL(109,local201314[Net
Balance])</f>
        <v>6118565</v>
      </c>
    </row>
    <row r="109" spans="1:12" ht="15" customHeight="1" x14ac:dyDescent="0.2">
      <c r="A109" s="169" t="s">
        <v>463</v>
      </c>
      <c r="B109" s="198"/>
      <c r="C109" s="37"/>
      <c r="D109" s="103"/>
      <c r="E109" s="122"/>
      <c r="F109" s="122"/>
      <c r="G109" s="122"/>
      <c r="H109" s="122"/>
      <c r="I109" s="122"/>
      <c r="J109" s="122"/>
      <c r="K109" s="122"/>
      <c r="L109" s="122"/>
    </row>
    <row r="110" spans="1:12" ht="50.1" customHeight="1" x14ac:dyDescent="0.2">
      <c r="A110" s="40" t="s">
        <v>1</v>
      </c>
      <c r="B110" s="40" t="s">
        <v>15</v>
      </c>
      <c r="C110" s="40" t="s">
        <v>16</v>
      </c>
      <c r="D110" s="193" t="s">
        <v>454</v>
      </c>
      <c r="E110" s="194" t="s">
        <v>3</v>
      </c>
      <c r="F110" s="40" t="s">
        <v>587</v>
      </c>
      <c r="G110" s="196" t="s">
        <v>462</v>
      </c>
      <c r="H110" s="197" t="s">
        <v>461</v>
      </c>
      <c r="I110" s="197" t="s">
        <v>460</v>
      </c>
      <c r="J110" s="197" t="s">
        <v>459</v>
      </c>
      <c r="K110" s="197" t="s">
        <v>458</v>
      </c>
      <c r="L110" s="197" t="s">
        <v>17</v>
      </c>
    </row>
    <row r="111" spans="1:12" ht="15" customHeight="1" x14ac:dyDescent="0.2">
      <c r="A111" s="103" t="s">
        <v>68</v>
      </c>
      <c r="B111" s="198" t="s">
        <v>29</v>
      </c>
      <c r="C111" s="37" t="s">
        <v>30</v>
      </c>
      <c r="D111" s="103">
        <v>167</v>
      </c>
      <c r="E111" s="122">
        <v>7825991</v>
      </c>
      <c r="F111" s="122">
        <v>7825991</v>
      </c>
      <c r="G111" s="200" t="s">
        <v>457</v>
      </c>
      <c r="H111" s="201">
        <v>0</v>
      </c>
      <c r="I111" s="122">
        <v>132637</v>
      </c>
      <c r="J111" s="122">
        <v>98973</v>
      </c>
      <c r="K111" s="122">
        <v>33664</v>
      </c>
      <c r="L111" s="122">
        <v>-33664</v>
      </c>
    </row>
    <row r="112" spans="1:12" ht="15" customHeight="1" x14ac:dyDescent="0.2">
      <c r="A112" s="103" t="s">
        <v>68</v>
      </c>
      <c r="B112" s="198" t="s">
        <v>47</v>
      </c>
      <c r="C112" s="37" t="s">
        <v>48</v>
      </c>
      <c r="D112" s="103">
        <v>187</v>
      </c>
      <c r="E112" s="122">
        <v>6014556</v>
      </c>
      <c r="F112" s="201">
        <v>0</v>
      </c>
      <c r="G112" s="200" t="s">
        <v>457</v>
      </c>
      <c r="H112" s="122">
        <v>6014556</v>
      </c>
      <c r="I112" s="201">
        <v>0</v>
      </c>
      <c r="J112" s="201">
        <v>0</v>
      </c>
      <c r="K112" s="201">
        <v>0</v>
      </c>
      <c r="L112" s="122">
        <v>6014556</v>
      </c>
    </row>
    <row r="113" spans="1:12" ht="15" customHeight="1" x14ac:dyDescent="0.2">
      <c r="A113" s="202" t="s">
        <v>380</v>
      </c>
      <c r="B113" s="203" t="s">
        <v>464</v>
      </c>
      <c r="C113" s="203" t="s">
        <v>464</v>
      </c>
      <c r="D113" s="203" t="s">
        <v>464</v>
      </c>
      <c r="E113" s="117">
        <f>SUBTOTAL(109,local201213[Program
Costs])</f>
        <v>13840547</v>
      </c>
      <c r="F113" s="204">
        <f>SUBTOTAL(109,local201213[Less: Net 
Payments
 and Offsets 1])</f>
        <v>7825991</v>
      </c>
      <c r="G113" s="203" t="s">
        <v>464</v>
      </c>
      <c r="H113" s="117">
        <f>SUBTOTAL(109,local201213[Accounts Payable
Balance])</f>
        <v>6014556</v>
      </c>
      <c r="I113" s="204">
        <f>SUBTOTAL(109,local201213[Established
Accounts Receivable])</f>
        <v>132637</v>
      </c>
      <c r="J113" s="204">
        <f>SUBTOTAL(109,local201213[Less: 
Recovered 
Amount])</f>
        <v>98973</v>
      </c>
      <c r="K113" s="204">
        <f>SUBTOTAL(109,local201213[Accounts Receivable
Balance])</f>
        <v>33664</v>
      </c>
      <c r="L113" s="117">
        <f>SUBTOTAL(109,local201213[Net
Balance])</f>
        <v>5980892</v>
      </c>
    </row>
    <row r="114" spans="1:12" x14ac:dyDescent="0.2">
      <c r="A114" s="169" t="s">
        <v>463</v>
      </c>
      <c r="B114" s="198"/>
      <c r="C114" s="37"/>
      <c r="D114" s="103"/>
      <c r="E114" s="122"/>
      <c r="F114" s="122"/>
      <c r="G114" s="122"/>
      <c r="H114" s="122"/>
      <c r="I114" s="122"/>
      <c r="J114" s="122"/>
      <c r="K114" s="122"/>
      <c r="L114" s="122"/>
    </row>
    <row r="115" spans="1:12" ht="50.1" customHeight="1" x14ac:dyDescent="0.2">
      <c r="A115" s="40" t="s">
        <v>1</v>
      </c>
      <c r="B115" s="40" t="s">
        <v>15</v>
      </c>
      <c r="C115" s="40" t="s">
        <v>16</v>
      </c>
      <c r="D115" s="193" t="s">
        <v>454</v>
      </c>
      <c r="E115" s="194" t="s">
        <v>3</v>
      </c>
      <c r="F115" s="40" t="s">
        <v>587</v>
      </c>
      <c r="G115" s="196" t="s">
        <v>462</v>
      </c>
      <c r="H115" s="197" t="s">
        <v>461</v>
      </c>
      <c r="I115" s="197" t="s">
        <v>460</v>
      </c>
      <c r="J115" s="197" t="s">
        <v>459</v>
      </c>
      <c r="K115" s="197" t="s">
        <v>458</v>
      </c>
      <c r="L115" s="197" t="s">
        <v>17</v>
      </c>
    </row>
    <row r="116" spans="1:12" ht="15" customHeight="1" x14ac:dyDescent="0.2">
      <c r="A116" s="103" t="s">
        <v>69</v>
      </c>
      <c r="B116" s="198" t="s">
        <v>47</v>
      </c>
      <c r="C116" s="37" t="s">
        <v>48</v>
      </c>
      <c r="D116" s="103">
        <v>187</v>
      </c>
      <c r="E116" s="122">
        <v>5461966</v>
      </c>
      <c r="F116" s="201">
        <v>0</v>
      </c>
      <c r="G116" s="200" t="s">
        <v>457</v>
      </c>
      <c r="H116" s="122">
        <v>5461966</v>
      </c>
      <c r="I116" s="201">
        <v>0</v>
      </c>
      <c r="J116" s="201">
        <v>0</v>
      </c>
      <c r="K116" s="201">
        <v>0</v>
      </c>
      <c r="L116" s="122">
        <v>5461966</v>
      </c>
    </row>
    <row r="117" spans="1:12" ht="15" customHeight="1" x14ac:dyDescent="0.2">
      <c r="A117" s="202" t="s">
        <v>381</v>
      </c>
      <c r="B117" s="203" t="s">
        <v>464</v>
      </c>
      <c r="C117" s="203" t="s">
        <v>464</v>
      </c>
      <c r="D117" s="203" t="s">
        <v>464</v>
      </c>
      <c r="E117" s="117">
        <f>SUBTOTAL(109,locals201112[Program
Costs])</f>
        <v>5461966</v>
      </c>
      <c r="F117" s="204">
        <f>SUBTOTAL(109,locals201112[Less: Net 
Payments
 and Offsets 1])</f>
        <v>0</v>
      </c>
      <c r="G117" s="203" t="s">
        <v>464</v>
      </c>
      <c r="H117" s="117">
        <f>SUBTOTAL(109,locals201112[Accounts Payable
Balance])</f>
        <v>5461966</v>
      </c>
      <c r="I117" s="204">
        <f>SUBTOTAL(109,locals201112[Established
Accounts Receivable])</f>
        <v>0</v>
      </c>
      <c r="J117" s="204">
        <f>SUBTOTAL(109,locals201112[Less: 
Recovered 
Amount])</f>
        <v>0</v>
      </c>
      <c r="K117" s="204">
        <f>SUBTOTAL(109,locals201112[Accounts Receivable
Balance])</f>
        <v>0</v>
      </c>
      <c r="L117" s="117">
        <f>SUBTOTAL(109,locals201112[Net
Balance])</f>
        <v>5461966</v>
      </c>
    </row>
    <row r="118" spans="1:12" ht="15.75" customHeight="1" x14ac:dyDescent="0.2">
      <c r="A118" s="169" t="s">
        <v>463</v>
      </c>
      <c r="B118" s="198"/>
      <c r="C118" s="37"/>
      <c r="D118" s="103"/>
      <c r="E118" s="122"/>
      <c r="F118" s="122"/>
      <c r="G118" s="122"/>
      <c r="H118" s="122"/>
      <c r="I118" s="122"/>
      <c r="J118" s="122"/>
      <c r="K118" s="122"/>
      <c r="L118" s="122"/>
    </row>
    <row r="119" spans="1:12" ht="50.1" customHeight="1" x14ac:dyDescent="0.2">
      <c r="A119" s="40" t="s">
        <v>1</v>
      </c>
      <c r="B119" s="40" t="s">
        <v>15</v>
      </c>
      <c r="C119" s="40" t="s">
        <v>16</v>
      </c>
      <c r="D119" s="193" t="s">
        <v>454</v>
      </c>
      <c r="E119" s="194" t="s">
        <v>3</v>
      </c>
      <c r="F119" s="40" t="s">
        <v>587</v>
      </c>
      <c r="G119" s="196" t="s">
        <v>462</v>
      </c>
      <c r="H119" s="197" t="s">
        <v>461</v>
      </c>
      <c r="I119" s="197" t="s">
        <v>460</v>
      </c>
      <c r="J119" s="197" t="s">
        <v>459</v>
      </c>
      <c r="K119" s="197" t="s">
        <v>458</v>
      </c>
      <c r="L119" s="197" t="s">
        <v>17</v>
      </c>
    </row>
    <row r="120" spans="1:12" ht="15" customHeight="1" x14ac:dyDescent="0.2">
      <c r="A120" s="103" t="s">
        <v>70</v>
      </c>
      <c r="B120" s="198" t="s">
        <v>186</v>
      </c>
      <c r="C120" s="37" t="s">
        <v>187</v>
      </c>
      <c r="D120" s="103">
        <v>314</v>
      </c>
      <c r="E120" s="122">
        <v>381146</v>
      </c>
      <c r="F120" s="122">
        <v>372223</v>
      </c>
      <c r="G120" s="200" t="s">
        <v>457</v>
      </c>
      <c r="H120" s="122">
        <v>8923</v>
      </c>
      <c r="I120" s="201">
        <v>0</v>
      </c>
      <c r="J120" s="201">
        <v>0</v>
      </c>
      <c r="K120" s="201">
        <v>0</v>
      </c>
      <c r="L120" s="122">
        <v>8923</v>
      </c>
    </row>
    <row r="121" spans="1:12" ht="15" customHeight="1" x14ac:dyDescent="0.2">
      <c r="A121" s="103" t="s">
        <v>70</v>
      </c>
      <c r="B121" s="198" t="s">
        <v>71</v>
      </c>
      <c r="C121" s="37" t="s">
        <v>72</v>
      </c>
      <c r="D121" s="103">
        <v>219</v>
      </c>
      <c r="E121" s="122">
        <v>14066200</v>
      </c>
      <c r="F121" s="201">
        <v>0</v>
      </c>
      <c r="G121" s="200" t="s">
        <v>457</v>
      </c>
      <c r="H121" s="122">
        <v>14066200</v>
      </c>
      <c r="I121" s="201">
        <v>0</v>
      </c>
      <c r="J121" s="201">
        <v>0</v>
      </c>
      <c r="K121" s="201">
        <v>0</v>
      </c>
      <c r="L121" s="122">
        <v>14066200</v>
      </c>
    </row>
    <row r="122" spans="1:12" ht="15" customHeight="1" x14ac:dyDescent="0.2">
      <c r="A122" s="103" t="s">
        <v>70</v>
      </c>
      <c r="B122" s="198" t="s">
        <v>47</v>
      </c>
      <c r="C122" s="37" t="s">
        <v>48</v>
      </c>
      <c r="D122" s="103">
        <v>187</v>
      </c>
      <c r="E122" s="122">
        <v>5760946</v>
      </c>
      <c r="F122" s="201">
        <v>0</v>
      </c>
      <c r="G122" s="200" t="s">
        <v>457</v>
      </c>
      <c r="H122" s="122">
        <v>5760946</v>
      </c>
      <c r="I122" s="201">
        <v>0</v>
      </c>
      <c r="J122" s="201">
        <v>0</v>
      </c>
      <c r="K122" s="201">
        <v>0</v>
      </c>
      <c r="L122" s="122">
        <v>5760946</v>
      </c>
    </row>
    <row r="123" spans="1:12" ht="15" customHeight="1" x14ac:dyDescent="0.2">
      <c r="A123" s="202" t="s">
        <v>382</v>
      </c>
      <c r="B123" s="203" t="s">
        <v>464</v>
      </c>
      <c r="C123" s="203" t="s">
        <v>464</v>
      </c>
      <c r="D123" s="203" t="s">
        <v>464</v>
      </c>
      <c r="E123" s="117">
        <f>SUBTOTAL(109,local201011[Program
Costs])</f>
        <v>20208292</v>
      </c>
      <c r="F123" s="117">
        <f>SUBTOTAL(109,local201011[Less: Net 
Payments
 and Offsets 1])</f>
        <v>372223</v>
      </c>
      <c r="G123" s="203" t="s">
        <v>464</v>
      </c>
      <c r="H123" s="117">
        <f>SUBTOTAL(109,local201011[Accounts Payable
Balance])</f>
        <v>19836069</v>
      </c>
      <c r="I123" s="118">
        <f>SUBTOTAL(109,local201011[Established
Accounts Receivable])</f>
        <v>0</v>
      </c>
      <c r="J123" s="204">
        <f>SUBTOTAL(109,local201011[Less: 
Recovered 
Amount])</f>
        <v>0</v>
      </c>
      <c r="K123" s="118">
        <f>SUBTOTAL(109,local201011[Accounts Receivable
Balance])</f>
        <v>0</v>
      </c>
      <c r="L123" s="117">
        <f>SUBTOTAL(109,local201011[Net
Balance])</f>
        <v>19836069</v>
      </c>
    </row>
    <row r="124" spans="1:12" x14ac:dyDescent="0.2">
      <c r="A124" s="169" t="s">
        <v>463</v>
      </c>
      <c r="B124" s="198"/>
      <c r="C124" s="37"/>
      <c r="D124" s="103"/>
      <c r="E124" s="122"/>
      <c r="F124" s="122"/>
      <c r="G124" s="122"/>
      <c r="H124" s="122"/>
      <c r="I124" s="122"/>
      <c r="J124" s="122"/>
      <c r="K124" s="122"/>
      <c r="L124" s="122"/>
    </row>
    <row r="125" spans="1:12" ht="50.1" customHeight="1" x14ac:dyDescent="0.2">
      <c r="A125" s="40" t="s">
        <v>1</v>
      </c>
      <c r="B125" s="40" t="s">
        <v>15</v>
      </c>
      <c r="C125" s="40" t="s">
        <v>16</v>
      </c>
      <c r="D125" s="193" t="s">
        <v>454</v>
      </c>
      <c r="E125" s="194" t="s">
        <v>3</v>
      </c>
      <c r="F125" s="40" t="s">
        <v>587</v>
      </c>
      <c r="G125" s="196" t="s">
        <v>462</v>
      </c>
      <c r="H125" s="197" t="s">
        <v>461</v>
      </c>
      <c r="I125" s="197" t="s">
        <v>460</v>
      </c>
      <c r="J125" s="197" t="s">
        <v>459</v>
      </c>
      <c r="K125" s="197" t="s">
        <v>458</v>
      </c>
      <c r="L125" s="197" t="s">
        <v>17</v>
      </c>
    </row>
    <row r="126" spans="1:12" ht="15" customHeight="1" x14ac:dyDescent="0.2">
      <c r="A126" s="103" t="s">
        <v>73</v>
      </c>
      <c r="B126" s="198" t="s">
        <v>74</v>
      </c>
      <c r="C126" s="37" t="s">
        <v>75</v>
      </c>
      <c r="D126" s="103">
        <v>2</v>
      </c>
      <c r="E126" s="122">
        <v>24780791</v>
      </c>
      <c r="F126" s="201">
        <v>0</v>
      </c>
      <c r="G126" s="200" t="s">
        <v>457</v>
      </c>
      <c r="H126" s="122">
        <v>24780791</v>
      </c>
      <c r="I126" s="201">
        <v>0</v>
      </c>
      <c r="J126" s="201">
        <v>0</v>
      </c>
      <c r="K126" s="201">
        <v>0</v>
      </c>
      <c r="L126" s="122">
        <v>24780791</v>
      </c>
    </row>
    <row r="127" spans="1:12" ht="15" customHeight="1" x14ac:dyDescent="0.2">
      <c r="A127" s="103" t="s">
        <v>73</v>
      </c>
      <c r="B127" s="198" t="s">
        <v>76</v>
      </c>
      <c r="C127" s="37" t="s">
        <v>77</v>
      </c>
      <c r="D127" s="103">
        <v>248</v>
      </c>
      <c r="E127" s="122">
        <v>35138</v>
      </c>
      <c r="F127" s="201">
        <v>0</v>
      </c>
      <c r="G127" s="200" t="s">
        <v>457</v>
      </c>
      <c r="H127" s="122">
        <v>35138</v>
      </c>
      <c r="I127" s="201">
        <v>0</v>
      </c>
      <c r="J127" s="201">
        <v>0</v>
      </c>
      <c r="K127" s="201">
        <v>0</v>
      </c>
      <c r="L127" s="122">
        <v>35138</v>
      </c>
    </row>
    <row r="128" spans="1:12" ht="15" customHeight="1" x14ac:dyDescent="0.2">
      <c r="A128" s="103" t="s">
        <v>73</v>
      </c>
      <c r="B128" s="198" t="s">
        <v>78</v>
      </c>
      <c r="C128" s="37" t="s">
        <v>79</v>
      </c>
      <c r="D128" s="103">
        <v>353</v>
      </c>
      <c r="E128" s="122">
        <v>2060812</v>
      </c>
      <c r="F128" s="122">
        <v>2060812</v>
      </c>
      <c r="G128" s="200" t="s">
        <v>457</v>
      </c>
      <c r="H128" s="201">
        <v>0</v>
      </c>
      <c r="I128" s="122">
        <v>11046</v>
      </c>
      <c r="J128" s="201">
        <v>0</v>
      </c>
      <c r="K128" s="122">
        <v>11046</v>
      </c>
      <c r="L128" s="122">
        <v>-11046</v>
      </c>
    </row>
    <row r="129" spans="1:12" ht="15" customHeight="1" x14ac:dyDescent="0.2">
      <c r="A129" s="103" t="s">
        <v>73</v>
      </c>
      <c r="B129" s="198" t="s">
        <v>80</v>
      </c>
      <c r="C129" s="37" t="s">
        <v>81</v>
      </c>
      <c r="D129" s="103">
        <v>289</v>
      </c>
      <c r="E129" s="122">
        <v>15567</v>
      </c>
      <c r="F129" s="201">
        <v>0</v>
      </c>
      <c r="G129" s="200" t="s">
        <v>457</v>
      </c>
      <c r="H129" s="122">
        <v>15567</v>
      </c>
      <c r="I129" s="201">
        <v>0</v>
      </c>
      <c r="J129" s="201">
        <v>0</v>
      </c>
      <c r="K129" s="201">
        <v>0</v>
      </c>
      <c r="L129" s="122">
        <v>15567</v>
      </c>
    </row>
    <row r="130" spans="1:12" ht="15" customHeight="1" x14ac:dyDescent="0.2">
      <c r="A130" s="103" t="s">
        <v>73</v>
      </c>
      <c r="B130" s="198" t="s">
        <v>82</v>
      </c>
      <c r="C130" s="37" t="s">
        <v>83</v>
      </c>
      <c r="D130" s="103">
        <v>41</v>
      </c>
      <c r="E130" s="122">
        <v>1410809</v>
      </c>
      <c r="F130" s="201">
        <v>0</v>
      </c>
      <c r="G130" s="200" t="s">
        <v>457</v>
      </c>
      <c r="H130" s="122">
        <v>1410809</v>
      </c>
      <c r="I130" s="201">
        <v>0</v>
      </c>
      <c r="J130" s="201">
        <v>0</v>
      </c>
      <c r="K130" s="201">
        <v>0</v>
      </c>
      <c r="L130" s="122">
        <v>1410809</v>
      </c>
    </row>
    <row r="131" spans="1:12" ht="15" customHeight="1" x14ac:dyDescent="0.2">
      <c r="A131" s="103" t="s">
        <v>73</v>
      </c>
      <c r="B131" s="198" t="s">
        <v>186</v>
      </c>
      <c r="C131" s="37" t="s">
        <v>187</v>
      </c>
      <c r="D131" s="103">
        <v>314</v>
      </c>
      <c r="E131" s="122">
        <v>385904</v>
      </c>
      <c r="F131" s="122">
        <v>377417</v>
      </c>
      <c r="G131" s="200" t="s">
        <v>457</v>
      </c>
      <c r="H131" s="122">
        <v>8487</v>
      </c>
      <c r="I131" s="201">
        <v>0</v>
      </c>
      <c r="J131" s="201">
        <v>0</v>
      </c>
      <c r="K131" s="201">
        <v>0</v>
      </c>
      <c r="L131" s="122">
        <v>8487</v>
      </c>
    </row>
    <row r="132" spans="1:12" ht="15" customHeight="1" x14ac:dyDescent="0.2">
      <c r="A132" s="103" t="s">
        <v>73</v>
      </c>
      <c r="B132" s="198" t="s">
        <v>71</v>
      </c>
      <c r="C132" s="37" t="s">
        <v>72</v>
      </c>
      <c r="D132" s="103">
        <v>219</v>
      </c>
      <c r="E132" s="122">
        <v>14636054</v>
      </c>
      <c r="F132" s="201">
        <v>0</v>
      </c>
      <c r="G132" s="200" t="s">
        <v>457</v>
      </c>
      <c r="H132" s="122">
        <v>14636054</v>
      </c>
      <c r="I132" s="201">
        <v>0</v>
      </c>
      <c r="J132" s="201">
        <v>0</v>
      </c>
      <c r="K132" s="201">
        <v>0</v>
      </c>
      <c r="L132" s="122">
        <v>14636054</v>
      </c>
    </row>
    <row r="133" spans="1:12" ht="15" customHeight="1" x14ac:dyDescent="0.2">
      <c r="A133" s="103" t="s">
        <v>73</v>
      </c>
      <c r="B133" s="198" t="s">
        <v>47</v>
      </c>
      <c r="C133" s="37" t="s">
        <v>48</v>
      </c>
      <c r="D133" s="103">
        <v>187</v>
      </c>
      <c r="E133" s="122">
        <v>6025129</v>
      </c>
      <c r="F133" s="201">
        <v>0</v>
      </c>
      <c r="G133" s="200" t="s">
        <v>457</v>
      </c>
      <c r="H133" s="122">
        <v>6025129</v>
      </c>
      <c r="I133" s="201">
        <v>0</v>
      </c>
      <c r="J133" s="201">
        <v>0</v>
      </c>
      <c r="K133" s="201">
        <v>0</v>
      </c>
      <c r="L133" s="122">
        <v>6025129</v>
      </c>
    </row>
    <row r="134" spans="1:12" ht="15" customHeight="1" x14ac:dyDescent="0.2">
      <c r="A134" s="103" t="s">
        <v>73</v>
      </c>
      <c r="B134" s="198" t="s">
        <v>84</v>
      </c>
      <c r="C134" s="37" t="s">
        <v>85</v>
      </c>
      <c r="D134" s="103">
        <v>56</v>
      </c>
      <c r="E134" s="122">
        <v>1275498</v>
      </c>
      <c r="F134" s="201">
        <v>0</v>
      </c>
      <c r="G134" s="200" t="s">
        <v>457</v>
      </c>
      <c r="H134" s="122">
        <v>1275498</v>
      </c>
      <c r="I134" s="201">
        <v>0</v>
      </c>
      <c r="J134" s="201">
        <v>0</v>
      </c>
      <c r="K134" s="201">
        <v>0</v>
      </c>
      <c r="L134" s="122">
        <v>1275498</v>
      </c>
    </row>
    <row r="135" spans="1:12" ht="15" customHeight="1" x14ac:dyDescent="0.2">
      <c r="A135" s="202" t="s">
        <v>383</v>
      </c>
      <c r="B135" s="203" t="s">
        <v>464</v>
      </c>
      <c r="C135" s="203" t="s">
        <v>464</v>
      </c>
      <c r="D135" s="203" t="s">
        <v>464</v>
      </c>
      <c r="E135" s="117">
        <f>SUBTOTAL(109,local200910[Program
Costs])</f>
        <v>50625702</v>
      </c>
      <c r="F135" s="117">
        <f>SUBTOTAL(109,local200910[Less: Net 
Payments
 and Offsets 1])</f>
        <v>2438229</v>
      </c>
      <c r="G135" s="203" t="s">
        <v>464</v>
      </c>
      <c r="H135" s="117">
        <f>SUBTOTAL(109,local200910[Accounts Payable
Balance])</f>
        <v>48187473</v>
      </c>
      <c r="I135" s="117">
        <f>SUBTOTAL(109,local200910[Established
Accounts Receivable])</f>
        <v>11046</v>
      </c>
      <c r="J135" s="204">
        <f>SUBTOTAL(109,local200910[Less: 
Recovered 
Amount])</f>
        <v>0</v>
      </c>
      <c r="K135" s="117">
        <f>SUBTOTAL(109,local200910[Accounts Receivable
Balance])</f>
        <v>11046</v>
      </c>
      <c r="L135" s="117">
        <f>SUBTOTAL(109,local200910[Net
Balance])</f>
        <v>48176427</v>
      </c>
    </row>
    <row r="136" spans="1:12" x14ac:dyDescent="0.2">
      <c r="A136" s="169" t="s">
        <v>463</v>
      </c>
      <c r="B136" s="198"/>
      <c r="C136" s="37"/>
      <c r="D136" s="103"/>
      <c r="E136" s="122"/>
      <c r="F136" s="122"/>
      <c r="G136" s="122"/>
      <c r="H136" s="122"/>
      <c r="I136" s="122"/>
      <c r="J136" s="122"/>
      <c r="K136" s="122"/>
      <c r="L136" s="122"/>
    </row>
    <row r="137" spans="1:12" ht="50.1" customHeight="1" x14ac:dyDescent="0.2">
      <c r="A137" s="40" t="s">
        <v>1</v>
      </c>
      <c r="B137" s="40" t="s">
        <v>15</v>
      </c>
      <c r="C137" s="40" t="s">
        <v>16</v>
      </c>
      <c r="D137" s="193" t="s">
        <v>454</v>
      </c>
      <c r="E137" s="194" t="s">
        <v>3</v>
      </c>
      <c r="F137" s="40" t="s">
        <v>587</v>
      </c>
      <c r="G137" s="196" t="s">
        <v>462</v>
      </c>
      <c r="H137" s="197" t="s">
        <v>461</v>
      </c>
      <c r="I137" s="197" t="s">
        <v>460</v>
      </c>
      <c r="J137" s="197" t="s">
        <v>459</v>
      </c>
      <c r="K137" s="197" t="s">
        <v>458</v>
      </c>
      <c r="L137" s="197" t="s">
        <v>17</v>
      </c>
    </row>
    <row r="138" spans="1:12" ht="15" customHeight="1" x14ac:dyDescent="0.2">
      <c r="A138" s="103" t="s">
        <v>13</v>
      </c>
      <c r="B138" s="198" t="s">
        <v>74</v>
      </c>
      <c r="C138" s="37" t="s">
        <v>75</v>
      </c>
      <c r="D138" s="103">
        <v>2</v>
      </c>
      <c r="E138" s="122">
        <v>24710823</v>
      </c>
      <c r="F138" s="201">
        <v>0</v>
      </c>
      <c r="G138" s="200" t="s">
        <v>457</v>
      </c>
      <c r="H138" s="122">
        <v>24710823</v>
      </c>
      <c r="I138" s="201">
        <v>0</v>
      </c>
      <c r="J138" s="201">
        <v>0</v>
      </c>
      <c r="K138" s="201">
        <v>0</v>
      </c>
      <c r="L138" s="122">
        <v>24710823</v>
      </c>
    </row>
    <row r="139" spans="1:12" ht="15" customHeight="1" x14ac:dyDescent="0.2">
      <c r="A139" s="103" t="s">
        <v>13</v>
      </c>
      <c r="B139" s="198" t="s">
        <v>76</v>
      </c>
      <c r="C139" s="37" t="s">
        <v>77</v>
      </c>
      <c r="D139" s="103">
        <v>248</v>
      </c>
      <c r="E139" s="122">
        <v>32562</v>
      </c>
      <c r="F139" s="201">
        <v>0</v>
      </c>
      <c r="G139" s="200" t="s">
        <v>457</v>
      </c>
      <c r="H139" s="122">
        <v>32562</v>
      </c>
      <c r="I139" s="201">
        <v>0</v>
      </c>
      <c r="J139" s="201">
        <v>0</v>
      </c>
      <c r="K139" s="201">
        <v>0</v>
      </c>
      <c r="L139" s="122">
        <v>32562</v>
      </c>
    </row>
    <row r="140" spans="1:12" ht="15" customHeight="1" x14ac:dyDescent="0.2">
      <c r="A140" s="103" t="s">
        <v>13</v>
      </c>
      <c r="B140" s="198" t="s">
        <v>86</v>
      </c>
      <c r="C140" s="37" t="s">
        <v>87</v>
      </c>
      <c r="D140" s="103">
        <v>213</v>
      </c>
      <c r="E140" s="122">
        <v>1542144</v>
      </c>
      <c r="F140" s="201">
        <v>0</v>
      </c>
      <c r="G140" s="200" t="s">
        <v>457</v>
      </c>
      <c r="H140" s="122">
        <v>1542144</v>
      </c>
      <c r="I140" s="201">
        <v>0</v>
      </c>
      <c r="J140" s="201">
        <v>0</v>
      </c>
      <c r="K140" s="201">
        <v>0</v>
      </c>
      <c r="L140" s="122">
        <v>1542144</v>
      </c>
    </row>
    <row r="141" spans="1:12" ht="15" customHeight="1" x14ac:dyDescent="0.2">
      <c r="A141" s="103" t="s">
        <v>13</v>
      </c>
      <c r="B141" s="198" t="s">
        <v>78</v>
      </c>
      <c r="C141" s="37" t="s">
        <v>79</v>
      </c>
      <c r="D141" s="103">
        <v>353</v>
      </c>
      <c r="E141" s="122">
        <v>1640194</v>
      </c>
      <c r="F141" s="122">
        <v>1640194</v>
      </c>
      <c r="G141" s="200" t="s">
        <v>457</v>
      </c>
      <c r="H141" s="201">
        <v>0</v>
      </c>
      <c r="I141" s="122">
        <v>9444</v>
      </c>
      <c r="J141" s="201">
        <v>0</v>
      </c>
      <c r="K141" s="122">
        <v>9444</v>
      </c>
      <c r="L141" s="122">
        <v>-9444</v>
      </c>
    </row>
    <row r="142" spans="1:12" ht="15" customHeight="1" x14ac:dyDescent="0.2">
      <c r="A142" s="103" t="s">
        <v>13</v>
      </c>
      <c r="B142" s="198" t="s">
        <v>88</v>
      </c>
      <c r="C142" s="37" t="s">
        <v>89</v>
      </c>
      <c r="D142" s="103">
        <v>67</v>
      </c>
      <c r="E142" s="122">
        <v>12927</v>
      </c>
      <c r="F142" s="201">
        <v>0</v>
      </c>
      <c r="G142" s="200" t="s">
        <v>457</v>
      </c>
      <c r="H142" s="122">
        <v>12927</v>
      </c>
      <c r="I142" s="201">
        <v>0</v>
      </c>
      <c r="J142" s="201">
        <v>0</v>
      </c>
      <c r="K142" s="201">
        <v>0</v>
      </c>
      <c r="L142" s="122">
        <v>12927</v>
      </c>
    </row>
    <row r="143" spans="1:12" ht="15" customHeight="1" x14ac:dyDescent="0.2">
      <c r="A143" s="103" t="s">
        <v>13</v>
      </c>
      <c r="B143" s="198" t="s">
        <v>90</v>
      </c>
      <c r="C143" s="37" t="s">
        <v>91</v>
      </c>
      <c r="D143" s="103">
        <v>88</v>
      </c>
      <c r="E143" s="122">
        <v>8996</v>
      </c>
      <c r="F143" s="201">
        <v>0</v>
      </c>
      <c r="G143" s="200" t="s">
        <v>457</v>
      </c>
      <c r="H143" s="122">
        <v>8996</v>
      </c>
      <c r="I143" s="201">
        <v>0</v>
      </c>
      <c r="J143" s="201">
        <v>0</v>
      </c>
      <c r="K143" s="201">
        <v>0</v>
      </c>
      <c r="L143" s="122">
        <v>8996</v>
      </c>
    </row>
    <row r="144" spans="1:12" ht="15" customHeight="1" x14ac:dyDescent="0.2">
      <c r="A144" s="103" t="s">
        <v>13</v>
      </c>
      <c r="B144" s="198" t="s">
        <v>92</v>
      </c>
      <c r="C144" s="37" t="s">
        <v>93</v>
      </c>
      <c r="D144" s="103">
        <v>158</v>
      </c>
      <c r="E144" s="122">
        <v>25577</v>
      </c>
      <c r="F144" s="201">
        <v>0</v>
      </c>
      <c r="G144" s="200" t="s">
        <v>457</v>
      </c>
      <c r="H144" s="122">
        <v>25577</v>
      </c>
      <c r="I144" s="201">
        <v>0</v>
      </c>
      <c r="J144" s="201">
        <v>0</v>
      </c>
      <c r="K144" s="201">
        <v>0</v>
      </c>
      <c r="L144" s="122">
        <v>25577</v>
      </c>
    </row>
    <row r="145" spans="1:12" ht="15" customHeight="1" x14ac:dyDescent="0.2">
      <c r="A145" s="103" t="s">
        <v>13</v>
      </c>
      <c r="B145" s="198" t="s">
        <v>94</v>
      </c>
      <c r="C145" s="37" t="s">
        <v>95</v>
      </c>
      <c r="D145" s="103">
        <v>87</v>
      </c>
      <c r="E145" s="122">
        <v>40390</v>
      </c>
      <c r="F145" s="201">
        <v>0</v>
      </c>
      <c r="G145" s="200" t="s">
        <v>457</v>
      </c>
      <c r="H145" s="122">
        <v>40390</v>
      </c>
      <c r="I145" s="201">
        <v>0</v>
      </c>
      <c r="J145" s="201">
        <v>0</v>
      </c>
      <c r="K145" s="201">
        <v>0</v>
      </c>
      <c r="L145" s="122">
        <v>40390</v>
      </c>
    </row>
    <row r="146" spans="1:12" ht="15" customHeight="1" x14ac:dyDescent="0.2">
      <c r="A146" s="103" t="s">
        <v>13</v>
      </c>
      <c r="B146" s="198" t="s">
        <v>80</v>
      </c>
      <c r="C146" s="37" t="s">
        <v>81</v>
      </c>
      <c r="D146" s="103">
        <v>289</v>
      </c>
      <c r="E146" s="122">
        <v>20569</v>
      </c>
      <c r="F146" s="201">
        <v>0</v>
      </c>
      <c r="G146" s="200" t="s">
        <v>457</v>
      </c>
      <c r="H146" s="122">
        <v>20569</v>
      </c>
      <c r="I146" s="201">
        <v>0</v>
      </c>
      <c r="J146" s="201">
        <v>0</v>
      </c>
      <c r="K146" s="201">
        <v>0</v>
      </c>
      <c r="L146" s="122">
        <v>20569</v>
      </c>
    </row>
    <row r="147" spans="1:12" ht="15" customHeight="1" x14ac:dyDescent="0.2">
      <c r="A147" s="103" t="s">
        <v>13</v>
      </c>
      <c r="B147" s="198" t="s">
        <v>96</v>
      </c>
      <c r="C147" s="37" t="s">
        <v>97</v>
      </c>
      <c r="D147" s="103">
        <v>300</v>
      </c>
      <c r="E147" s="122">
        <v>7017</v>
      </c>
      <c r="F147" s="201">
        <v>0</v>
      </c>
      <c r="G147" s="200" t="s">
        <v>457</v>
      </c>
      <c r="H147" s="122">
        <v>7017</v>
      </c>
      <c r="I147" s="201">
        <v>0</v>
      </c>
      <c r="J147" s="201">
        <v>0</v>
      </c>
      <c r="K147" s="201">
        <v>0</v>
      </c>
      <c r="L147" s="122">
        <v>7017</v>
      </c>
    </row>
    <row r="148" spans="1:12" ht="15" customHeight="1" x14ac:dyDescent="0.2">
      <c r="A148" s="103" t="s">
        <v>13</v>
      </c>
      <c r="B148" s="198" t="s">
        <v>82</v>
      </c>
      <c r="C148" s="37" t="s">
        <v>83</v>
      </c>
      <c r="D148" s="103">
        <v>41</v>
      </c>
      <c r="E148" s="122">
        <v>5475418</v>
      </c>
      <c r="F148" s="201">
        <v>0</v>
      </c>
      <c r="G148" s="200" t="s">
        <v>457</v>
      </c>
      <c r="H148" s="122">
        <v>5475418</v>
      </c>
      <c r="I148" s="201">
        <v>0</v>
      </c>
      <c r="J148" s="201">
        <v>0</v>
      </c>
      <c r="K148" s="201">
        <v>0</v>
      </c>
      <c r="L148" s="122">
        <v>5475418</v>
      </c>
    </row>
    <row r="149" spans="1:12" ht="15" customHeight="1" x14ac:dyDescent="0.2">
      <c r="A149" s="103" t="s">
        <v>13</v>
      </c>
      <c r="B149" s="198" t="s">
        <v>98</v>
      </c>
      <c r="C149" s="37" t="s">
        <v>99</v>
      </c>
      <c r="D149" s="103">
        <v>203</v>
      </c>
      <c r="E149" s="122">
        <v>219819</v>
      </c>
      <c r="F149" s="201">
        <v>0</v>
      </c>
      <c r="G149" s="200" t="s">
        <v>457</v>
      </c>
      <c r="H149" s="122">
        <v>219819</v>
      </c>
      <c r="I149" s="201">
        <v>0</v>
      </c>
      <c r="J149" s="201">
        <v>0</v>
      </c>
      <c r="K149" s="201">
        <v>0</v>
      </c>
      <c r="L149" s="122">
        <v>219819</v>
      </c>
    </row>
    <row r="150" spans="1:12" ht="30" customHeight="1" x14ac:dyDescent="0.2">
      <c r="A150" s="103" t="s">
        <v>13</v>
      </c>
      <c r="B150" s="198" t="s">
        <v>100</v>
      </c>
      <c r="C150" s="37" t="s">
        <v>101</v>
      </c>
      <c r="D150" s="103">
        <v>39</v>
      </c>
      <c r="E150" s="122">
        <v>3011</v>
      </c>
      <c r="F150" s="201">
        <v>0</v>
      </c>
      <c r="G150" s="200" t="s">
        <v>457</v>
      </c>
      <c r="H150" s="122">
        <v>3011</v>
      </c>
      <c r="I150" s="201">
        <v>0</v>
      </c>
      <c r="J150" s="201">
        <v>0</v>
      </c>
      <c r="K150" s="201">
        <v>0</v>
      </c>
      <c r="L150" s="122">
        <v>3011</v>
      </c>
    </row>
    <row r="151" spans="1:12" ht="15" customHeight="1" x14ac:dyDescent="0.2">
      <c r="A151" s="103" t="s">
        <v>13</v>
      </c>
      <c r="B151" s="198" t="s">
        <v>102</v>
      </c>
      <c r="C151" s="37" t="s">
        <v>103</v>
      </c>
      <c r="D151" s="103">
        <v>66</v>
      </c>
      <c r="E151" s="122">
        <v>1345</v>
      </c>
      <c r="F151" s="201">
        <v>0</v>
      </c>
      <c r="G151" s="200" t="s">
        <v>457</v>
      </c>
      <c r="H151" s="122">
        <v>1345</v>
      </c>
      <c r="I151" s="201">
        <v>0</v>
      </c>
      <c r="J151" s="201">
        <v>0</v>
      </c>
      <c r="K151" s="201">
        <v>0</v>
      </c>
      <c r="L151" s="122">
        <v>1345</v>
      </c>
    </row>
    <row r="152" spans="1:12" ht="15" customHeight="1" x14ac:dyDescent="0.2">
      <c r="A152" s="103" t="s">
        <v>13</v>
      </c>
      <c r="B152" s="198" t="s">
        <v>186</v>
      </c>
      <c r="C152" s="37" t="s">
        <v>187</v>
      </c>
      <c r="D152" s="103">
        <v>314</v>
      </c>
      <c r="E152" s="122">
        <v>396374</v>
      </c>
      <c r="F152" s="122">
        <v>387912</v>
      </c>
      <c r="G152" s="200" t="s">
        <v>457</v>
      </c>
      <c r="H152" s="122">
        <v>8462</v>
      </c>
      <c r="I152" s="201">
        <v>0</v>
      </c>
      <c r="J152" s="201">
        <v>0</v>
      </c>
      <c r="K152" s="201">
        <v>0</v>
      </c>
      <c r="L152" s="122">
        <v>8462</v>
      </c>
    </row>
    <row r="153" spans="1:12" ht="15" customHeight="1" x14ac:dyDescent="0.2">
      <c r="A153" s="103" t="s">
        <v>13</v>
      </c>
      <c r="B153" s="198" t="s">
        <v>104</v>
      </c>
      <c r="C153" s="37" t="s">
        <v>105</v>
      </c>
      <c r="D153" s="103">
        <v>200</v>
      </c>
      <c r="E153" s="122">
        <v>120902</v>
      </c>
      <c r="F153" s="201">
        <v>0</v>
      </c>
      <c r="G153" s="200" t="s">
        <v>457</v>
      </c>
      <c r="H153" s="122">
        <v>120902</v>
      </c>
      <c r="I153" s="201">
        <v>0</v>
      </c>
      <c r="J153" s="201">
        <v>0</v>
      </c>
      <c r="K153" s="201">
        <v>0</v>
      </c>
      <c r="L153" s="122">
        <v>120902</v>
      </c>
    </row>
    <row r="154" spans="1:12" ht="15" customHeight="1" x14ac:dyDescent="0.2">
      <c r="A154" s="103" t="s">
        <v>13</v>
      </c>
      <c r="B154" s="198" t="s">
        <v>71</v>
      </c>
      <c r="C154" s="37" t="s">
        <v>72</v>
      </c>
      <c r="D154" s="103">
        <v>219</v>
      </c>
      <c r="E154" s="122">
        <v>15411645</v>
      </c>
      <c r="F154" s="201">
        <v>0</v>
      </c>
      <c r="G154" s="200" t="s">
        <v>457</v>
      </c>
      <c r="H154" s="122">
        <v>15411645</v>
      </c>
      <c r="I154" s="201">
        <v>0</v>
      </c>
      <c r="J154" s="201">
        <v>0</v>
      </c>
      <c r="K154" s="201">
        <v>0</v>
      </c>
      <c r="L154" s="122">
        <v>15411645</v>
      </c>
    </row>
    <row r="155" spans="1:12" ht="15" customHeight="1" x14ac:dyDescent="0.2">
      <c r="A155" s="103" t="s">
        <v>13</v>
      </c>
      <c r="B155" s="198" t="s">
        <v>106</v>
      </c>
      <c r="C155" s="37" t="s">
        <v>107</v>
      </c>
      <c r="D155" s="103">
        <v>122</v>
      </c>
      <c r="E155" s="122">
        <v>1466</v>
      </c>
      <c r="F155" s="201">
        <v>0</v>
      </c>
      <c r="G155" s="200" t="s">
        <v>457</v>
      </c>
      <c r="H155" s="122">
        <v>1466</v>
      </c>
      <c r="I155" s="201">
        <v>0</v>
      </c>
      <c r="J155" s="201">
        <v>0</v>
      </c>
      <c r="K155" s="201">
        <v>0</v>
      </c>
      <c r="L155" s="122">
        <v>1466</v>
      </c>
    </row>
    <row r="156" spans="1:12" ht="15" customHeight="1" x14ac:dyDescent="0.2">
      <c r="A156" s="103" t="s">
        <v>13</v>
      </c>
      <c r="B156" s="198" t="s">
        <v>47</v>
      </c>
      <c r="C156" s="37" t="s">
        <v>48</v>
      </c>
      <c r="D156" s="103">
        <v>187</v>
      </c>
      <c r="E156" s="122">
        <v>6503704</v>
      </c>
      <c r="F156" s="201">
        <v>0</v>
      </c>
      <c r="G156" s="200" t="s">
        <v>457</v>
      </c>
      <c r="H156" s="122">
        <v>6503704</v>
      </c>
      <c r="I156" s="201">
        <v>0</v>
      </c>
      <c r="J156" s="201">
        <v>0</v>
      </c>
      <c r="K156" s="201">
        <v>0</v>
      </c>
      <c r="L156" s="122">
        <v>6503704</v>
      </c>
    </row>
    <row r="157" spans="1:12" ht="15" customHeight="1" x14ac:dyDescent="0.2">
      <c r="A157" s="103" t="s">
        <v>13</v>
      </c>
      <c r="B157" s="198" t="s">
        <v>108</v>
      </c>
      <c r="C157" s="37" t="s">
        <v>109</v>
      </c>
      <c r="D157" s="103">
        <v>124</v>
      </c>
      <c r="E157" s="122">
        <v>47464</v>
      </c>
      <c r="F157" s="201">
        <v>0</v>
      </c>
      <c r="G157" s="200" t="s">
        <v>457</v>
      </c>
      <c r="H157" s="122">
        <v>47464</v>
      </c>
      <c r="I157" s="201">
        <v>0</v>
      </c>
      <c r="J157" s="201">
        <v>0</v>
      </c>
      <c r="K157" s="201">
        <v>0</v>
      </c>
      <c r="L157" s="122">
        <v>47464</v>
      </c>
    </row>
    <row r="158" spans="1:12" ht="15" customHeight="1" x14ac:dyDescent="0.2">
      <c r="A158" s="103" t="s">
        <v>13</v>
      </c>
      <c r="B158" s="198" t="s">
        <v>110</v>
      </c>
      <c r="C158" s="37" t="s">
        <v>111</v>
      </c>
      <c r="D158" s="103">
        <v>83</v>
      </c>
      <c r="E158" s="122">
        <v>1310491</v>
      </c>
      <c r="F158" s="201">
        <v>0</v>
      </c>
      <c r="G158" s="200" t="s">
        <v>457</v>
      </c>
      <c r="H158" s="122">
        <v>1310491</v>
      </c>
      <c r="I158" s="201">
        <v>0</v>
      </c>
      <c r="J158" s="201">
        <v>0</v>
      </c>
      <c r="K158" s="201">
        <v>0</v>
      </c>
      <c r="L158" s="122">
        <v>1310491</v>
      </c>
    </row>
    <row r="159" spans="1:12" ht="15" customHeight="1" x14ac:dyDescent="0.2">
      <c r="A159" s="103" t="s">
        <v>13</v>
      </c>
      <c r="B159" s="198" t="s">
        <v>112</v>
      </c>
      <c r="C159" s="37" t="s">
        <v>113</v>
      </c>
      <c r="D159" s="103">
        <v>215</v>
      </c>
      <c r="E159" s="122">
        <v>2177</v>
      </c>
      <c r="F159" s="201">
        <v>0</v>
      </c>
      <c r="G159" s="200" t="s">
        <v>457</v>
      </c>
      <c r="H159" s="122">
        <v>2177</v>
      </c>
      <c r="I159" s="201">
        <v>0</v>
      </c>
      <c r="J159" s="201">
        <v>0</v>
      </c>
      <c r="K159" s="201">
        <v>0</v>
      </c>
      <c r="L159" s="122">
        <v>2177</v>
      </c>
    </row>
    <row r="160" spans="1:12" ht="15" customHeight="1" x14ac:dyDescent="0.2">
      <c r="A160" s="103" t="s">
        <v>13</v>
      </c>
      <c r="B160" s="198" t="s">
        <v>114</v>
      </c>
      <c r="C160" s="37" t="s">
        <v>115</v>
      </c>
      <c r="D160" s="103">
        <v>279</v>
      </c>
      <c r="E160" s="122">
        <v>7804</v>
      </c>
      <c r="F160" s="201">
        <v>0</v>
      </c>
      <c r="G160" s="200" t="s">
        <v>457</v>
      </c>
      <c r="H160" s="122">
        <v>7804</v>
      </c>
      <c r="I160" s="201">
        <v>0</v>
      </c>
      <c r="J160" s="201">
        <v>0</v>
      </c>
      <c r="K160" s="201">
        <v>0</v>
      </c>
      <c r="L160" s="122">
        <v>7804</v>
      </c>
    </row>
    <row r="161" spans="1:12" ht="15" customHeight="1" x14ac:dyDescent="0.2">
      <c r="A161" s="103" t="s">
        <v>13</v>
      </c>
      <c r="B161" s="198" t="s">
        <v>116</v>
      </c>
      <c r="C161" s="37" t="s">
        <v>117</v>
      </c>
      <c r="D161" s="103">
        <v>73</v>
      </c>
      <c r="E161" s="122">
        <v>48090</v>
      </c>
      <c r="F161" s="201">
        <v>0</v>
      </c>
      <c r="G161" s="200" t="s">
        <v>457</v>
      </c>
      <c r="H161" s="122">
        <v>48090</v>
      </c>
      <c r="I161" s="201">
        <v>0</v>
      </c>
      <c r="J161" s="201">
        <v>0</v>
      </c>
      <c r="K161" s="201">
        <v>0</v>
      </c>
      <c r="L161" s="122">
        <v>48090</v>
      </c>
    </row>
    <row r="162" spans="1:12" ht="15" customHeight="1" x14ac:dyDescent="0.2">
      <c r="A162" s="103" t="s">
        <v>13</v>
      </c>
      <c r="B162" s="198" t="s">
        <v>118</v>
      </c>
      <c r="C162" s="37" t="s">
        <v>119</v>
      </c>
      <c r="D162" s="103">
        <v>120</v>
      </c>
      <c r="E162" s="122">
        <v>13379</v>
      </c>
      <c r="F162" s="201">
        <v>0</v>
      </c>
      <c r="G162" s="200" t="s">
        <v>457</v>
      </c>
      <c r="H162" s="122">
        <v>13379</v>
      </c>
      <c r="I162" s="201">
        <v>0</v>
      </c>
      <c r="J162" s="201">
        <v>0</v>
      </c>
      <c r="K162" s="201">
        <v>0</v>
      </c>
      <c r="L162" s="122">
        <v>13379</v>
      </c>
    </row>
    <row r="163" spans="1:12" ht="15" customHeight="1" x14ac:dyDescent="0.2">
      <c r="A163" s="103" t="s">
        <v>13</v>
      </c>
      <c r="B163" s="198" t="s">
        <v>84</v>
      </c>
      <c r="C163" s="37" t="s">
        <v>85</v>
      </c>
      <c r="D163" s="103">
        <v>56</v>
      </c>
      <c r="E163" s="122">
        <v>1205598</v>
      </c>
      <c r="F163" s="201">
        <v>0</v>
      </c>
      <c r="G163" s="200" t="s">
        <v>457</v>
      </c>
      <c r="H163" s="122">
        <v>1205598</v>
      </c>
      <c r="I163" s="201">
        <v>0</v>
      </c>
      <c r="J163" s="201">
        <v>0</v>
      </c>
      <c r="K163" s="201">
        <v>0</v>
      </c>
      <c r="L163" s="122">
        <v>1205598</v>
      </c>
    </row>
    <row r="164" spans="1:12" ht="15" customHeight="1" x14ac:dyDescent="0.2">
      <c r="A164" s="202" t="s">
        <v>384</v>
      </c>
      <c r="B164" s="203" t="s">
        <v>464</v>
      </c>
      <c r="C164" s="203" t="s">
        <v>464</v>
      </c>
      <c r="D164" s="203" t="s">
        <v>464</v>
      </c>
      <c r="E164" s="117">
        <f>SUBTOTAL(109,local200809[Program
Costs])</f>
        <v>58809886</v>
      </c>
      <c r="F164" s="117">
        <f>SUBTOTAL(109,local200809[Less: Net 
Payments
 and Offsets 1])</f>
        <v>2028106</v>
      </c>
      <c r="G164" s="203" t="s">
        <v>464</v>
      </c>
      <c r="H164" s="117">
        <f>SUBTOTAL(109,local200809[Accounts Payable
Balance])</f>
        <v>56781780</v>
      </c>
      <c r="I164" s="117">
        <f>SUBTOTAL(109,local200809[Established
Accounts Receivable])</f>
        <v>9444</v>
      </c>
      <c r="J164" s="204">
        <f>SUBTOTAL(109,local200809[Less: 
Recovered 
Amount])</f>
        <v>0</v>
      </c>
      <c r="K164" s="117">
        <f>SUBTOTAL(109,local200809[Accounts Receivable
Balance])</f>
        <v>9444</v>
      </c>
      <c r="L164" s="117">
        <f>SUBTOTAL(109,local200809[Net
Balance])</f>
        <v>56772336</v>
      </c>
    </row>
    <row r="165" spans="1:12" x14ac:dyDescent="0.2">
      <c r="A165" s="169" t="s">
        <v>463</v>
      </c>
      <c r="B165" s="198"/>
      <c r="C165" s="37"/>
      <c r="D165" s="103"/>
      <c r="E165" s="122"/>
      <c r="F165" s="122"/>
      <c r="G165" s="122"/>
      <c r="H165" s="122"/>
      <c r="I165" s="122"/>
      <c r="J165" s="122"/>
      <c r="K165" s="122"/>
      <c r="L165" s="122"/>
    </row>
    <row r="166" spans="1:12" ht="50.1" customHeight="1" x14ac:dyDescent="0.2">
      <c r="A166" s="40" t="s">
        <v>1</v>
      </c>
      <c r="B166" s="40" t="s">
        <v>15</v>
      </c>
      <c r="C166" s="40" t="s">
        <v>16</v>
      </c>
      <c r="D166" s="193" t="s">
        <v>454</v>
      </c>
      <c r="E166" s="194" t="s">
        <v>3</v>
      </c>
      <c r="F166" s="40" t="s">
        <v>587</v>
      </c>
      <c r="G166" s="196" t="s">
        <v>462</v>
      </c>
      <c r="H166" s="197" t="s">
        <v>461</v>
      </c>
      <c r="I166" s="197" t="s">
        <v>460</v>
      </c>
      <c r="J166" s="197" t="s">
        <v>459</v>
      </c>
      <c r="K166" s="197" t="s">
        <v>458</v>
      </c>
      <c r="L166" s="197" t="s">
        <v>17</v>
      </c>
    </row>
    <row r="167" spans="1:12" ht="15" customHeight="1" x14ac:dyDescent="0.2">
      <c r="A167" s="103" t="s">
        <v>120</v>
      </c>
      <c r="B167" s="198" t="s">
        <v>86</v>
      </c>
      <c r="C167" s="37" t="s">
        <v>87</v>
      </c>
      <c r="D167" s="103">
        <v>213</v>
      </c>
      <c r="E167" s="122">
        <v>19859110</v>
      </c>
      <c r="F167" s="201">
        <v>0</v>
      </c>
      <c r="G167" s="200" t="s">
        <v>457</v>
      </c>
      <c r="H167" s="122">
        <v>19859110</v>
      </c>
      <c r="I167" s="201">
        <v>0</v>
      </c>
      <c r="J167" s="201">
        <v>0</v>
      </c>
      <c r="K167" s="201">
        <v>0</v>
      </c>
      <c r="L167" s="122">
        <v>19859110</v>
      </c>
    </row>
    <row r="168" spans="1:12" ht="15" customHeight="1" x14ac:dyDescent="0.2">
      <c r="A168" s="103" t="s">
        <v>120</v>
      </c>
      <c r="B168" s="198" t="s">
        <v>78</v>
      </c>
      <c r="C168" s="37" t="s">
        <v>79</v>
      </c>
      <c r="D168" s="103">
        <v>353</v>
      </c>
      <c r="E168" s="122">
        <v>1558731</v>
      </c>
      <c r="F168" s="122">
        <v>1558731</v>
      </c>
      <c r="G168" s="200" t="s">
        <v>457</v>
      </c>
      <c r="H168" s="201">
        <v>0</v>
      </c>
      <c r="I168" s="122">
        <v>7837</v>
      </c>
      <c r="J168" s="201">
        <v>0</v>
      </c>
      <c r="K168" s="122">
        <v>7837</v>
      </c>
      <c r="L168" s="122">
        <v>-7837</v>
      </c>
    </row>
    <row r="169" spans="1:12" ht="15" customHeight="1" x14ac:dyDescent="0.2">
      <c r="A169" s="103" t="s">
        <v>120</v>
      </c>
      <c r="B169" s="198" t="s">
        <v>88</v>
      </c>
      <c r="C169" s="37" t="s">
        <v>89</v>
      </c>
      <c r="D169" s="103">
        <v>67</v>
      </c>
      <c r="E169" s="122">
        <v>171702</v>
      </c>
      <c r="F169" s="201">
        <v>0</v>
      </c>
      <c r="G169" s="200" t="s">
        <v>457</v>
      </c>
      <c r="H169" s="122">
        <v>171702</v>
      </c>
      <c r="I169" s="201">
        <v>0</v>
      </c>
      <c r="J169" s="201">
        <v>0</v>
      </c>
      <c r="K169" s="201">
        <v>0</v>
      </c>
      <c r="L169" s="122">
        <v>171702</v>
      </c>
    </row>
    <row r="170" spans="1:12" ht="15" customHeight="1" x14ac:dyDescent="0.2">
      <c r="A170" s="103" t="s">
        <v>120</v>
      </c>
      <c r="B170" s="198" t="s">
        <v>90</v>
      </c>
      <c r="C170" s="37" t="s">
        <v>91</v>
      </c>
      <c r="D170" s="103">
        <v>88</v>
      </c>
      <c r="E170" s="122">
        <v>113089</v>
      </c>
      <c r="F170" s="201">
        <v>0</v>
      </c>
      <c r="G170" s="200" t="s">
        <v>457</v>
      </c>
      <c r="H170" s="122">
        <v>113089</v>
      </c>
      <c r="I170" s="201">
        <v>0</v>
      </c>
      <c r="J170" s="201">
        <v>0</v>
      </c>
      <c r="K170" s="201">
        <v>0</v>
      </c>
      <c r="L170" s="122">
        <v>113089</v>
      </c>
    </row>
    <row r="171" spans="1:12" ht="15" customHeight="1" x14ac:dyDescent="0.2">
      <c r="A171" s="103" t="s">
        <v>120</v>
      </c>
      <c r="B171" s="198" t="s">
        <v>92</v>
      </c>
      <c r="C171" s="37" t="s">
        <v>93</v>
      </c>
      <c r="D171" s="103">
        <v>158</v>
      </c>
      <c r="E171" s="122">
        <v>363356</v>
      </c>
      <c r="F171" s="201">
        <v>0</v>
      </c>
      <c r="G171" s="200" t="s">
        <v>457</v>
      </c>
      <c r="H171" s="122">
        <v>363356</v>
      </c>
      <c r="I171" s="201">
        <v>0</v>
      </c>
      <c r="J171" s="201">
        <v>0</v>
      </c>
      <c r="K171" s="201">
        <v>0</v>
      </c>
      <c r="L171" s="122">
        <v>363356</v>
      </c>
    </row>
    <row r="172" spans="1:12" ht="15" customHeight="1" x14ac:dyDescent="0.2">
      <c r="A172" s="103" t="s">
        <v>120</v>
      </c>
      <c r="B172" s="198" t="s">
        <v>94</v>
      </c>
      <c r="C172" s="37" t="s">
        <v>95</v>
      </c>
      <c r="D172" s="103">
        <v>87</v>
      </c>
      <c r="E172" s="122">
        <v>567312</v>
      </c>
      <c r="F172" s="201">
        <v>0</v>
      </c>
      <c r="G172" s="200" t="s">
        <v>457</v>
      </c>
      <c r="H172" s="122">
        <v>567312</v>
      </c>
      <c r="I172" s="201">
        <v>0</v>
      </c>
      <c r="J172" s="201">
        <v>0</v>
      </c>
      <c r="K172" s="201">
        <v>0</v>
      </c>
      <c r="L172" s="122">
        <v>567312</v>
      </c>
    </row>
    <row r="173" spans="1:12" ht="15" customHeight="1" x14ac:dyDescent="0.2">
      <c r="A173" s="103" t="s">
        <v>120</v>
      </c>
      <c r="B173" s="198" t="s">
        <v>121</v>
      </c>
      <c r="C173" s="37" t="s">
        <v>122</v>
      </c>
      <c r="D173" s="103">
        <v>266</v>
      </c>
      <c r="E173" s="122">
        <v>146180</v>
      </c>
      <c r="F173" s="201">
        <v>0</v>
      </c>
      <c r="G173" s="200" t="s">
        <v>457</v>
      </c>
      <c r="H173" s="122">
        <v>146180</v>
      </c>
      <c r="I173" s="201">
        <v>0</v>
      </c>
      <c r="J173" s="201">
        <v>0</v>
      </c>
      <c r="K173" s="201">
        <v>0</v>
      </c>
      <c r="L173" s="122">
        <v>146180</v>
      </c>
    </row>
    <row r="174" spans="1:12" ht="15" customHeight="1" x14ac:dyDescent="0.2">
      <c r="A174" s="103" t="s">
        <v>120</v>
      </c>
      <c r="B174" s="198" t="s">
        <v>123</v>
      </c>
      <c r="C174" s="37" t="s">
        <v>124</v>
      </c>
      <c r="D174" s="103">
        <v>257</v>
      </c>
      <c r="E174" s="122">
        <v>4297</v>
      </c>
      <c r="F174" s="201">
        <v>0</v>
      </c>
      <c r="G174" s="200" t="s">
        <v>457</v>
      </c>
      <c r="H174" s="122">
        <v>4297</v>
      </c>
      <c r="I174" s="201">
        <v>0</v>
      </c>
      <c r="J174" s="201">
        <v>0</v>
      </c>
      <c r="K174" s="201">
        <v>0</v>
      </c>
      <c r="L174" s="122">
        <v>4297</v>
      </c>
    </row>
    <row r="175" spans="1:12" ht="15" customHeight="1" x14ac:dyDescent="0.2">
      <c r="A175" s="103" t="s">
        <v>120</v>
      </c>
      <c r="B175" s="198" t="s">
        <v>125</v>
      </c>
      <c r="C175" s="37" t="s">
        <v>126</v>
      </c>
      <c r="D175" s="103">
        <v>35</v>
      </c>
      <c r="E175" s="122">
        <v>139227</v>
      </c>
      <c r="F175" s="201">
        <v>0</v>
      </c>
      <c r="G175" s="200" t="s">
        <v>457</v>
      </c>
      <c r="H175" s="122">
        <v>139227</v>
      </c>
      <c r="I175" s="201">
        <v>0</v>
      </c>
      <c r="J175" s="201">
        <v>0</v>
      </c>
      <c r="K175" s="201">
        <v>0</v>
      </c>
      <c r="L175" s="122">
        <v>139227</v>
      </c>
    </row>
    <row r="176" spans="1:12" ht="15" customHeight="1" x14ac:dyDescent="0.2">
      <c r="A176" s="103" t="s">
        <v>120</v>
      </c>
      <c r="B176" s="198" t="s">
        <v>98</v>
      </c>
      <c r="C176" s="37" t="s">
        <v>99</v>
      </c>
      <c r="D176" s="103">
        <v>203</v>
      </c>
      <c r="E176" s="122">
        <v>3802424</v>
      </c>
      <c r="F176" s="201">
        <v>0</v>
      </c>
      <c r="G176" s="200" t="s">
        <v>457</v>
      </c>
      <c r="H176" s="122">
        <v>3802424</v>
      </c>
      <c r="I176" s="201">
        <v>0</v>
      </c>
      <c r="J176" s="201">
        <v>0</v>
      </c>
      <c r="K176" s="201">
        <v>0</v>
      </c>
      <c r="L176" s="122">
        <v>3802424</v>
      </c>
    </row>
    <row r="177" spans="1:12" ht="30" customHeight="1" x14ac:dyDescent="0.2">
      <c r="A177" s="103" t="s">
        <v>120</v>
      </c>
      <c r="B177" s="198" t="s">
        <v>100</v>
      </c>
      <c r="C177" s="37" t="s">
        <v>101</v>
      </c>
      <c r="D177" s="103">
        <v>39</v>
      </c>
      <c r="E177" s="122">
        <v>40980</v>
      </c>
      <c r="F177" s="201">
        <v>0</v>
      </c>
      <c r="G177" s="200" t="s">
        <v>457</v>
      </c>
      <c r="H177" s="122">
        <v>40980</v>
      </c>
      <c r="I177" s="201">
        <v>0</v>
      </c>
      <c r="J177" s="201">
        <v>0</v>
      </c>
      <c r="K177" s="201">
        <v>0</v>
      </c>
      <c r="L177" s="122">
        <v>40980</v>
      </c>
    </row>
    <row r="178" spans="1:12" ht="15" customHeight="1" x14ac:dyDescent="0.2">
      <c r="A178" s="103" t="s">
        <v>120</v>
      </c>
      <c r="B178" s="198" t="s">
        <v>102</v>
      </c>
      <c r="C178" s="37" t="s">
        <v>103</v>
      </c>
      <c r="D178" s="103">
        <v>66</v>
      </c>
      <c r="E178" s="122">
        <v>17862</v>
      </c>
      <c r="F178" s="201">
        <v>0</v>
      </c>
      <c r="G178" s="200" t="s">
        <v>457</v>
      </c>
      <c r="H178" s="122">
        <v>17862</v>
      </c>
      <c r="I178" s="201">
        <v>0</v>
      </c>
      <c r="J178" s="201">
        <v>0</v>
      </c>
      <c r="K178" s="201">
        <v>0</v>
      </c>
      <c r="L178" s="122">
        <v>17862</v>
      </c>
    </row>
    <row r="179" spans="1:12" ht="15" customHeight="1" x14ac:dyDescent="0.2">
      <c r="A179" s="103" t="s">
        <v>120</v>
      </c>
      <c r="B179" s="198" t="s">
        <v>186</v>
      </c>
      <c r="C179" s="37" t="s">
        <v>187</v>
      </c>
      <c r="D179" s="103">
        <v>314</v>
      </c>
      <c r="E179" s="122">
        <v>541684</v>
      </c>
      <c r="F179" s="122">
        <v>533273</v>
      </c>
      <c r="G179" s="200" t="s">
        <v>457</v>
      </c>
      <c r="H179" s="122">
        <v>8411</v>
      </c>
      <c r="I179" s="201">
        <v>0</v>
      </c>
      <c r="J179" s="201">
        <v>0</v>
      </c>
      <c r="K179" s="201">
        <v>0</v>
      </c>
      <c r="L179" s="122">
        <v>8411</v>
      </c>
    </row>
    <row r="180" spans="1:12" ht="15" customHeight="1" x14ac:dyDescent="0.2">
      <c r="A180" s="103" t="s">
        <v>120</v>
      </c>
      <c r="B180" s="198" t="s">
        <v>104</v>
      </c>
      <c r="C180" s="37" t="s">
        <v>105</v>
      </c>
      <c r="D180" s="103">
        <v>200</v>
      </c>
      <c r="E180" s="122">
        <v>2749480</v>
      </c>
      <c r="F180" s="201">
        <v>0</v>
      </c>
      <c r="G180" s="200" t="s">
        <v>457</v>
      </c>
      <c r="H180" s="122">
        <v>2749480</v>
      </c>
      <c r="I180" s="201">
        <v>0</v>
      </c>
      <c r="J180" s="201">
        <v>0</v>
      </c>
      <c r="K180" s="201">
        <v>0</v>
      </c>
      <c r="L180" s="122">
        <v>2749480</v>
      </c>
    </row>
    <row r="181" spans="1:12" ht="15" customHeight="1" x14ac:dyDescent="0.2">
      <c r="A181" s="103" t="s">
        <v>120</v>
      </c>
      <c r="B181" s="198" t="s">
        <v>71</v>
      </c>
      <c r="C181" s="37" t="s">
        <v>72</v>
      </c>
      <c r="D181" s="103">
        <v>219</v>
      </c>
      <c r="E181" s="122">
        <v>15673543</v>
      </c>
      <c r="F181" s="201">
        <v>0</v>
      </c>
      <c r="G181" s="200" t="s">
        <v>457</v>
      </c>
      <c r="H181" s="122">
        <v>15673543</v>
      </c>
      <c r="I181" s="201">
        <v>0</v>
      </c>
      <c r="J181" s="201">
        <v>0</v>
      </c>
      <c r="K181" s="201">
        <v>0</v>
      </c>
      <c r="L181" s="122">
        <v>15673543</v>
      </c>
    </row>
    <row r="182" spans="1:12" ht="15" customHeight="1" x14ac:dyDescent="0.2">
      <c r="A182" s="103" t="s">
        <v>120</v>
      </c>
      <c r="B182" s="198" t="s">
        <v>106</v>
      </c>
      <c r="C182" s="37" t="s">
        <v>107</v>
      </c>
      <c r="D182" s="103">
        <v>122</v>
      </c>
      <c r="E182" s="122">
        <v>64851</v>
      </c>
      <c r="F182" s="201">
        <v>0</v>
      </c>
      <c r="G182" s="200" t="s">
        <v>457</v>
      </c>
      <c r="H182" s="122">
        <v>64851</v>
      </c>
      <c r="I182" s="201">
        <v>0</v>
      </c>
      <c r="J182" s="201">
        <v>0</v>
      </c>
      <c r="K182" s="201">
        <v>0</v>
      </c>
      <c r="L182" s="122">
        <v>64851</v>
      </c>
    </row>
    <row r="183" spans="1:12" ht="15" customHeight="1" x14ac:dyDescent="0.2">
      <c r="A183" s="103" t="s">
        <v>120</v>
      </c>
      <c r="B183" s="198" t="s">
        <v>47</v>
      </c>
      <c r="C183" s="37" t="s">
        <v>48</v>
      </c>
      <c r="D183" s="103">
        <v>187</v>
      </c>
      <c r="E183" s="122">
        <v>6438488</v>
      </c>
      <c r="F183" s="201">
        <v>0</v>
      </c>
      <c r="G183" s="200" t="s">
        <v>457</v>
      </c>
      <c r="H183" s="122">
        <v>6438488</v>
      </c>
      <c r="I183" s="201">
        <v>0</v>
      </c>
      <c r="J183" s="201">
        <v>0</v>
      </c>
      <c r="K183" s="201">
        <v>0</v>
      </c>
      <c r="L183" s="122">
        <v>6438488</v>
      </c>
    </row>
    <row r="184" spans="1:12" ht="15" customHeight="1" x14ac:dyDescent="0.2">
      <c r="A184" s="103" t="s">
        <v>120</v>
      </c>
      <c r="B184" s="198" t="s">
        <v>108</v>
      </c>
      <c r="C184" s="37" t="s">
        <v>109</v>
      </c>
      <c r="D184" s="103">
        <v>124</v>
      </c>
      <c r="E184" s="122">
        <v>1009278</v>
      </c>
      <c r="F184" s="201">
        <v>0</v>
      </c>
      <c r="G184" s="200" t="s">
        <v>457</v>
      </c>
      <c r="H184" s="122">
        <v>1009278</v>
      </c>
      <c r="I184" s="201">
        <v>0</v>
      </c>
      <c r="J184" s="201">
        <v>0</v>
      </c>
      <c r="K184" s="201">
        <v>0</v>
      </c>
      <c r="L184" s="122">
        <v>1009278</v>
      </c>
    </row>
    <row r="185" spans="1:12" ht="15" customHeight="1" x14ac:dyDescent="0.2">
      <c r="A185" s="103" t="s">
        <v>120</v>
      </c>
      <c r="B185" s="198" t="s">
        <v>112</v>
      </c>
      <c r="C185" s="37" t="s">
        <v>113</v>
      </c>
      <c r="D185" s="103">
        <v>215</v>
      </c>
      <c r="E185" s="122">
        <v>112982</v>
      </c>
      <c r="F185" s="201">
        <v>0</v>
      </c>
      <c r="G185" s="200" t="s">
        <v>457</v>
      </c>
      <c r="H185" s="122">
        <v>112982</v>
      </c>
      <c r="I185" s="201">
        <v>0</v>
      </c>
      <c r="J185" s="201">
        <v>0</v>
      </c>
      <c r="K185" s="201">
        <v>0</v>
      </c>
      <c r="L185" s="122">
        <v>112982</v>
      </c>
    </row>
    <row r="186" spans="1:12" ht="15" customHeight="1" x14ac:dyDescent="0.2">
      <c r="A186" s="103" t="s">
        <v>120</v>
      </c>
      <c r="B186" s="198" t="s">
        <v>114</v>
      </c>
      <c r="C186" s="37" t="s">
        <v>115</v>
      </c>
      <c r="D186" s="103">
        <v>279</v>
      </c>
      <c r="E186" s="122">
        <v>142458</v>
      </c>
      <c r="F186" s="201">
        <v>0</v>
      </c>
      <c r="G186" s="200" t="s">
        <v>457</v>
      </c>
      <c r="H186" s="122">
        <v>142458</v>
      </c>
      <c r="I186" s="201">
        <v>0</v>
      </c>
      <c r="J186" s="201">
        <v>0</v>
      </c>
      <c r="K186" s="201">
        <v>0</v>
      </c>
      <c r="L186" s="122">
        <v>142458</v>
      </c>
    </row>
    <row r="187" spans="1:12" ht="15" customHeight="1" x14ac:dyDescent="0.2">
      <c r="A187" s="103" t="s">
        <v>120</v>
      </c>
      <c r="B187" s="198" t="s">
        <v>127</v>
      </c>
      <c r="C187" s="37" t="s">
        <v>128</v>
      </c>
      <c r="D187" s="103">
        <v>255</v>
      </c>
      <c r="E187" s="122">
        <v>1122</v>
      </c>
      <c r="F187" s="201">
        <v>0</v>
      </c>
      <c r="G187" s="200" t="s">
        <v>457</v>
      </c>
      <c r="H187" s="122">
        <v>1122</v>
      </c>
      <c r="I187" s="201">
        <v>0</v>
      </c>
      <c r="J187" s="201">
        <v>0</v>
      </c>
      <c r="K187" s="201">
        <v>0</v>
      </c>
      <c r="L187" s="122">
        <v>1122</v>
      </c>
    </row>
    <row r="188" spans="1:12" ht="15" customHeight="1" x14ac:dyDescent="0.2">
      <c r="A188" s="103" t="s">
        <v>120</v>
      </c>
      <c r="B188" s="198" t="s">
        <v>116</v>
      </c>
      <c r="C188" s="37" t="s">
        <v>117</v>
      </c>
      <c r="D188" s="103">
        <v>73</v>
      </c>
      <c r="E188" s="122">
        <v>699803</v>
      </c>
      <c r="F188" s="201">
        <v>0</v>
      </c>
      <c r="G188" s="200" t="s">
        <v>457</v>
      </c>
      <c r="H188" s="122">
        <v>699803</v>
      </c>
      <c r="I188" s="201">
        <v>0</v>
      </c>
      <c r="J188" s="201">
        <v>0</v>
      </c>
      <c r="K188" s="201">
        <v>0</v>
      </c>
      <c r="L188" s="122">
        <v>699803</v>
      </c>
    </row>
    <row r="189" spans="1:12" ht="15" customHeight="1" x14ac:dyDescent="0.2">
      <c r="A189" s="103" t="s">
        <v>120</v>
      </c>
      <c r="B189" s="198" t="s">
        <v>129</v>
      </c>
      <c r="C189" s="37" t="s">
        <v>130</v>
      </c>
      <c r="D189" s="103">
        <v>18</v>
      </c>
      <c r="E189" s="122">
        <v>195373</v>
      </c>
      <c r="F189" s="201">
        <v>0</v>
      </c>
      <c r="G189" s="200" t="s">
        <v>457</v>
      </c>
      <c r="H189" s="122">
        <v>195373</v>
      </c>
      <c r="I189" s="201">
        <v>0</v>
      </c>
      <c r="J189" s="201">
        <v>0</v>
      </c>
      <c r="K189" s="201">
        <v>0</v>
      </c>
      <c r="L189" s="122">
        <v>195373</v>
      </c>
    </row>
    <row r="190" spans="1:12" ht="15" customHeight="1" x14ac:dyDescent="0.2">
      <c r="A190" s="103" t="s">
        <v>120</v>
      </c>
      <c r="B190" s="198" t="s">
        <v>118</v>
      </c>
      <c r="C190" s="37" t="s">
        <v>119</v>
      </c>
      <c r="D190" s="103">
        <v>120</v>
      </c>
      <c r="E190" s="122">
        <v>551742</v>
      </c>
      <c r="F190" s="201">
        <v>0</v>
      </c>
      <c r="G190" s="200" t="s">
        <v>457</v>
      </c>
      <c r="H190" s="122">
        <v>551742</v>
      </c>
      <c r="I190" s="201">
        <v>0</v>
      </c>
      <c r="J190" s="201">
        <v>0</v>
      </c>
      <c r="K190" s="201">
        <v>0</v>
      </c>
      <c r="L190" s="122">
        <v>551742</v>
      </c>
    </row>
    <row r="191" spans="1:12" ht="15" customHeight="1" x14ac:dyDescent="0.2">
      <c r="A191" s="202" t="s">
        <v>385</v>
      </c>
      <c r="B191" s="203" t="s">
        <v>464</v>
      </c>
      <c r="C191" s="203" t="s">
        <v>464</v>
      </c>
      <c r="D191" s="203" t="s">
        <v>464</v>
      </c>
      <c r="E191" s="117">
        <f>SUBTOTAL(109,local200708[Program
Costs])</f>
        <v>54965074</v>
      </c>
      <c r="F191" s="117">
        <f>SUBTOTAL(109,local200708[Less: Net 
Payments
 and Offsets 1])</f>
        <v>2092004</v>
      </c>
      <c r="G191" s="203" t="s">
        <v>464</v>
      </c>
      <c r="H191" s="117">
        <f>SUBTOTAL(109,local200708[Accounts Payable
Balance])</f>
        <v>52873070</v>
      </c>
      <c r="I191" s="117">
        <f>SUBTOTAL(109,local200708[Established
Accounts Receivable])</f>
        <v>7837</v>
      </c>
      <c r="J191" s="204">
        <f>SUBTOTAL(109,local200708[Less: 
Recovered 
Amount])</f>
        <v>0</v>
      </c>
      <c r="K191" s="117">
        <f>SUBTOTAL(109,local200708[Accounts Receivable
Balance])</f>
        <v>7837</v>
      </c>
      <c r="L191" s="117">
        <f>SUBTOTAL(109,local200708[Net
Balance])</f>
        <v>52865233</v>
      </c>
    </row>
    <row r="192" spans="1:12" x14ac:dyDescent="0.2">
      <c r="A192" s="169" t="s">
        <v>463</v>
      </c>
      <c r="B192" s="198"/>
      <c r="C192" s="37"/>
      <c r="D192" s="103"/>
      <c r="E192" s="122"/>
      <c r="F192" s="122"/>
      <c r="G192" s="122"/>
      <c r="H192" s="122"/>
      <c r="I192" s="122"/>
      <c r="J192" s="122"/>
      <c r="K192" s="122"/>
      <c r="L192" s="122"/>
    </row>
    <row r="193" spans="1:12" ht="50.1" customHeight="1" x14ac:dyDescent="0.2">
      <c r="A193" s="40" t="s">
        <v>1</v>
      </c>
      <c r="B193" s="40" t="s">
        <v>15</v>
      </c>
      <c r="C193" s="40" t="s">
        <v>16</v>
      </c>
      <c r="D193" s="193" t="s">
        <v>454</v>
      </c>
      <c r="E193" s="194" t="s">
        <v>3</v>
      </c>
      <c r="F193" s="40" t="s">
        <v>587</v>
      </c>
      <c r="G193" s="196" t="s">
        <v>462</v>
      </c>
      <c r="H193" s="197" t="s">
        <v>461</v>
      </c>
      <c r="I193" s="197" t="s">
        <v>460</v>
      </c>
      <c r="J193" s="197" t="s">
        <v>459</v>
      </c>
      <c r="K193" s="197" t="s">
        <v>458</v>
      </c>
      <c r="L193" s="197" t="s">
        <v>17</v>
      </c>
    </row>
    <row r="194" spans="1:12" ht="15" customHeight="1" x14ac:dyDescent="0.2">
      <c r="A194" s="103" t="s">
        <v>131</v>
      </c>
      <c r="B194" s="198" t="s">
        <v>86</v>
      </c>
      <c r="C194" s="37" t="s">
        <v>87</v>
      </c>
      <c r="D194" s="103">
        <v>213</v>
      </c>
      <c r="E194" s="122">
        <v>18220419</v>
      </c>
      <c r="F194" s="201">
        <v>0</v>
      </c>
      <c r="G194" s="200" t="s">
        <v>457</v>
      </c>
      <c r="H194" s="122">
        <v>18220419</v>
      </c>
      <c r="I194" s="201">
        <v>0</v>
      </c>
      <c r="J194" s="201">
        <v>0</v>
      </c>
      <c r="K194" s="201">
        <v>0</v>
      </c>
      <c r="L194" s="122">
        <v>18220419</v>
      </c>
    </row>
    <row r="195" spans="1:12" ht="15" customHeight="1" x14ac:dyDescent="0.2">
      <c r="A195" s="103" t="s">
        <v>131</v>
      </c>
      <c r="B195" s="198" t="s">
        <v>78</v>
      </c>
      <c r="C195" s="37" t="s">
        <v>79</v>
      </c>
      <c r="D195" s="103">
        <v>353</v>
      </c>
      <c r="E195" s="122">
        <v>1228961</v>
      </c>
      <c r="F195" s="122">
        <v>1228961</v>
      </c>
      <c r="G195" s="200" t="s">
        <v>457</v>
      </c>
      <c r="H195" s="201">
        <v>0</v>
      </c>
      <c r="I195" s="122">
        <v>6821</v>
      </c>
      <c r="J195" s="201">
        <v>0</v>
      </c>
      <c r="K195" s="122">
        <v>6821</v>
      </c>
      <c r="L195" s="122">
        <v>-6821</v>
      </c>
    </row>
    <row r="196" spans="1:12" ht="15" customHeight="1" x14ac:dyDescent="0.2">
      <c r="A196" s="103" t="s">
        <v>131</v>
      </c>
      <c r="B196" s="198" t="s">
        <v>88</v>
      </c>
      <c r="C196" s="37" t="s">
        <v>89</v>
      </c>
      <c r="D196" s="103">
        <v>67</v>
      </c>
      <c r="E196" s="122">
        <v>164218</v>
      </c>
      <c r="F196" s="201">
        <v>0</v>
      </c>
      <c r="G196" s="200" t="s">
        <v>457</v>
      </c>
      <c r="H196" s="122">
        <v>164218</v>
      </c>
      <c r="I196" s="201">
        <v>0</v>
      </c>
      <c r="J196" s="201">
        <v>0</v>
      </c>
      <c r="K196" s="201">
        <v>0</v>
      </c>
      <c r="L196" s="122">
        <v>164218</v>
      </c>
    </row>
    <row r="197" spans="1:12" ht="15" customHeight="1" x14ac:dyDescent="0.2">
      <c r="A197" s="103" t="s">
        <v>131</v>
      </c>
      <c r="B197" s="198" t="s">
        <v>90</v>
      </c>
      <c r="C197" s="37" t="s">
        <v>91</v>
      </c>
      <c r="D197" s="103">
        <v>88</v>
      </c>
      <c r="E197" s="122">
        <v>99582</v>
      </c>
      <c r="F197" s="201">
        <v>0</v>
      </c>
      <c r="G197" s="200" t="s">
        <v>457</v>
      </c>
      <c r="H197" s="122">
        <v>99582</v>
      </c>
      <c r="I197" s="201">
        <v>0</v>
      </c>
      <c r="J197" s="201">
        <v>0</v>
      </c>
      <c r="K197" s="201">
        <v>0</v>
      </c>
      <c r="L197" s="122">
        <v>99582</v>
      </c>
    </row>
    <row r="198" spans="1:12" ht="15" customHeight="1" x14ac:dyDescent="0.2">
      <c r="A198" s="103" t="s">
        <v>131</v>
      </c>
      <c r="B198" s="198" t="s">
        <v>92</v>
      </c>
      <c r="C198" s="37" t="s">
        <v>93</v>
      </c>
      <c r="D198" s="103">
        <v>158</v>
      </c>
      <c r="E198" s="122">
        <v>321041</v>
      </c>
      <c r="F198" s="201">
        <v>0</v>
      </c>
      <c r="G198" s="200" t="s">
        <v>457</v>
      </c>
      <c r="H198" s="122">
        <v>321041</v>
      </c>
      <c r="I198" s="201">
        <v>0</v>
      </c>
      <c r="J198" s="201">
        <v>0</v>
      </c>
      <c r="K198" s="201">
        <v>0</v>
      </c>
      <c r="L198" s="122">
        <v>321041</v>
      </c>
    </row>
    <row r="199" spans="1:12" ht="15" customHeight="1" x14ac:dyDescent="0.2">
      <c r="A199" s="103" t="s">
        <v>131</v>
      </c>
      <c r="B199" s="198" t="s">
        <v>94</v>
      </c>
      <c r="C199" s="37" t="s">
        <v>95</v>
      </c>
      <c r="D199" s="103">
        <v>87</v>
      </c>
      <c r="E199" s="122">
        <v>593232</v>
      </c>
      <c r="F199" s="201">
        <v>0</v>
      </c>
      <c r="G199" s="200" t="s">
        <v>457</v>
      </c>
      <c r="H199" s="122">
        <v>593232</v>
      </c>
      <c r="I199" s="201">
        <v>0</v>
      </c>
      <c r="J199" s="201">
        <v>0</v>
      </c>
      <c r="K199" s="201">
        <v>0</v>
      </c>
      <c r="L199" s="122">
        <v>593232</v>
      </c>
    </row>
    <row r="200" spans="1:12" ht="15" customHeight="1" x14ac:dyDescent="0.2">
      <c r="A200" s="103" t="s">
        <v>131</v>
      </c>
      <c r="B200" s="198" t="s">
        <v>121</v>
      </c>
      <c r="C200" s="37" t="s">
        <v>122</v>
      </c>
      <c r="D200" s="103">
        <v>266</v>
      </c>
      <c r="E200" s="122">
        <v>163634</v>
      </c>
      <c r="F200" s="201">
        <v>0</v>
      </c>
      <c r="G200" s="200" t="s">
        <v>457</v>
      </c>
      <c r="H200" s="122">
        <v>163634</v>
      </c>
      <c r="I200" s="201">
        <v>0</v>
      </c>
      <c r="J200" s="201">
        <v>0</v>
      </c>
      <c r="K200" s="201">
        <v>0</v>
      </c>
      <c r="L200" s="122">
        <v>163634</v>
      </c>
    </row>
    <row r="201" spans="1:12" ht="15" customHeight="1" x14ac:dyDescent="0.2">
      <c r="A201" s="103" t="s">
        <v>131</v>
      </c>
      <c r="B201" s="198" t="s">
        <v>123</v>
      </c>
      <c r="C201" s="37" t="s">
        <v>124</v>
      </c>
      <c r="D201" s="103">
        <v>257</v>
      </c>
      <c r="E201" s="122">
        <v>5788</v>
      </c>
      <c r="F201" s="201">
        <v>0</v>
      </c>
      <c r="G201" s="200" t="s">
        <v>457</v>
      </c>
      <c r="H201" s="122">
        <v>5788</v>
      </c>
      <c r="I201" s="201">
        <v>0</v>
      </c>
      <c r="J201" s="201">
        <v>0</v>
      </c>
      <c r="K201" s="201">
        <v>0</v>
      </c>
      <c r="L201" s="122">
        <v>5788</v>
      </c>
    </row>
    <row r="202" spans="1:12" ht="15" customHeight="1" x14ac:dyDescent="0.2">
      <c r="A202" s="103" t="s">
        <v>131</v>
      </c>
      <c r="B202" s="198" t="s">
        <v>132</v>
      </c>
      <c r="C202" s="37" t="s">
        <v>133</v>
      </c>
      <c r="D202" s="103">
        <v>23</v>
      </c>
      <c r="E202" s="122">
        <v>5861791</v>
      </c>
      <c r="F202" s="201">
        <v>0</v>
      </c>
      <c r="G202" s="200" t="s">
        <v>457</v>
      </c>
      <c r="H202" s="122">
        <v>5861791</v>
      </c>
      <c r="I202" s="201">
        <v>0</v>
      </c>
      <c r="J202" s="201">
        <v>0</v>
      </c>
      <c r="K202" s="201">
        <v>0</v>
      </c>
      <c r="L202" s="122">
        <v>5861791</v>
      </c>
    </row>
    <row r="203" spans="1:12" ht="15" customHeight="1" x14ac:dyDescent="0.2">
      <c r="A203" s="103" t="s">
        <v>131</v>
      </c>
      <c r="B203" s="198" t="s">
        <v>125</v>
      </c>
      <c r="C203" s="37" t="s">
        <v>126</v>
      </c>
      <c r="D203" s="103">
        <v>35</v>
      </c>
      <c r="E203" s="122">
        <v>134655</v>
      </c>
      <c r="F203" s="201">
        <v>0</v>
      </c>
      <c r="G203" s="200" t="s">
        <v>457</v>
      </c>
      <c r="H203" s="122">
        <v>134655</v>
      </c>
      <c r="I203" s="201">
        <v>0</v>
      </c>
      <c r="J203" s="201">
        <v>0</v>
      </c>
      <c r="K203" s="201">
        <v>0</v>
      </c>
      <c r="L203" s="122">
        <v>134655</v>
      </c>
    </row>
    <row r="204" spans="1:12" ht="15" customHeight="1" x14ac:dyDescent="0.2">
      <c r="A204" s="103" t="s">
        <v>131</v>
      </c>
      <c r="B204" s="198" t="s">
        <v>96</v>
      </c>
      <c r="C204" s="37" t="s">
        <v>97</v>
      </c>
      <c r="D204" s="103">
        <v>300</v>
      </c>
      <c r="E204" s="122">
        <v>9133</v>
      </c>
      <c r="F204" s="122">
        <v>5761</v>
      </c>
      <c r="G204" s="200" t="s">
        <v>457</v>
      </c>
      <c r="H204" s="122">
        <v>3372</v>
      </c>
      <c r="I204" s="201">
        <v>0</v>
      </c>
      <c r="J204" s="201">
        <v>0</v>
      </c>
      <c r="K204" s="201">
        <v>0</v>
      </c>
      <c r="L204" s="122">
        <v>3372</v>
      </c>
    </row>
    <row r="205" spans="1:12" ht="15" customHeight="1" x14ac:dyDescent="0.2">
      <c r="A205" s="103" t="s">
        <v>131</v>
      </c>
      <c r="B205" s="198" t="s">
        <v>98</v>
      </c>
      <c r="C205" s="37" t="s">
        <v>99</v>
      </c>
      <c r="D205" s="103">
        <v>203</v>
      </c>
      <c r="E205" s="122">
        <v>3146513</v>
      </c>
      <c r="F205" s="201">
        <v>0</v>
      </c>
      <c r="G205" s="200" t="s">
        <v>457</v>
      </c>
      <c r="H205" s="122">
        <v>3146513</v>
      </c>
      <c r="I205" s="201">
        <v>0</v>
      </c>
      <c r="J205" s="201">
        <v>0</v>
      </c>
      <c r="K205" s="201">
        <v>0</v>
      </c>
      <c r="L205" s="122">
        <v>3146513</v>
      </c>
    </row>
    <row r="206" spans="1:12" ht="15" customHeight="1" x14ac:dyDescent="0.2">
      <c r="A206" s="103" t="s">
        <v>131</v>
      </c>
      <c r="B206" s="198" t="s">
        <v>100</v>
      </c>
      <c r="C206" s="37" t="s">
        <v>101</v>
      </c>
      <c r="D206" s="103">
        <v>39</v>
      </c>
      <c r="E206" s="122">
        <v>295550</v>
      </c>
      <c r="F206" s="201">
        <v>0</v>
      </c>
      <c r="G206" s="200" t="s">
        <v>457</v>
      </c>
      <c r="H206" s="122">
        <v>295550</v>
      </c>
      <c r="I206" s="201">
        <v>0</v>
      </c>
      <c r="J206" s="201">
        <v>0</v>
      </c>
      <c r="K206" s="201">
        <v>0</v>
      </c>
      <c r="L206" s="122">
        <v>295550</v>
      </c>
    </row>
    <row r="207" spans="1:12" ht="15" customHeight="1" x14ac:dyDescent="0.2">
      <c r="A207" s="103" t="s">
        <v>131</v>
      </c>
      <c r="B207" s="198" t="s">
        <v>102</v>
      </c>
      <c r="C207" s="37" t="s">
        <v>103</v>
      </c>
      <c r="D207" s="103">
        <v>66</v>
      </c>
      <c r="E207" s="122">
        <v>16698</v>
      </c>
      <c r="F207" s="201">
        <v>0</v>
      </c>
      <c r="G207" s="200" t="s">
        <v>457</v>
      </c>
      <c r="H207" s="122">
        <v>16698</v>
      </c>
      <c r="I207" s="201">
        <v>0</v>
      </c>
      <c r="J207" s="201">
        <v>0</v>
      </c>
      <c r="K207" s="201">
        <v>0</v>
      </c>
      <c r="L207" s="122">
        <v>16698</v>
      </c>
    </row>
    <row r="208" spans="1:12" ht="15" customHeight="1" x14ac:dyDescent="0.2">
      <c r="A208" s="103" t="s">
        <v>131</v>
      </c>
      <c r="B208" s="198" t="s">
        <v>186</v>
      </c>
      <c r="C208" s="37" t="s">
        <v>187</v>
      </c>
      <c r="D208" s="103">
        <v>314</v>
      </c>
      <c r="E208" s="122">
        <v>921329</v>
      </c>
      <c r="F208" s="122">
        <v>912918</v>
      </c>
      <c r="G208" s="200" t="s">
        <v>457</v>
      </c>
      <c r="H208" s="122">
        <v>8411</v>
      </c>
      <c r="I208" s="201">
        <v>0</v>
      </c>
      <c r="J208" s="201">
        <v>0</v>
      </c>
      <c r="K208" s="201">
        <v>0</v>
      </c>
      <c r="L208" s="122">
        <v>8411</v>
      </c>
    </row>
    <row r="209" spans="1:12" ht="15" customHeight="1" x14ac:dyDescent="0.2">
      <c r="A209" s="103" t="s">
        <v>131</v>
      </c>
      <c r="B209" s="198" t="s">
        <v>104</v>
      </c>
      <c r="C209" s="37" t="s">
        <v>105</v>
      </c>
      <c r="D209" s="103">
        <v>200</v>
      </c>
      <c r="E209" s="122">
        <v>2338247</v>
      </c>
      <c r="F209" s="201">
        <v>0</v>
      </c>
      <c r="G209" s="200" t="s">
        <v>457</v>
      </c>
      <c r="H209" s="122">
        <v>2338247</v>
      </c>
      <c r="I209" s="201">
        <v>0</v>
      </c>
      <c r="J209" s="201">
        <v>0</v>
      </c>
      <c r="K209" s="201">
        <v>0</v>
      </c>
      <c r="L209" s="122">
        <v>2338247</v>
      </c>
    </row>
    <row r="210" spans="1:12" ht="15" customHeight="1" x14ac:dyDescent="0.2">
      <c r="A210" s="103" t="s">
        <v>131</v>
      </c>
      <c r="B210" s="198" t="s">
        <v>71</v>
      </c>
      <c r="C210" s="37" t="s">
        <v>72</v>
      </c>
      <c r="D210" s="103">
        <v>219</v>
      </c>
      <c r="E210" s="122">
        <v>15545535</v>
      </c>
      <c r="F210" s="201">
        <v>0</v>
      </c>
      <c r="G210" s="200" t="s">
        <v>457</v>
      </c>
      <c r="H210" s="122">
        <v>15545535</v>
      </c>
      <c r="I210" s="201">
        <v>0</v>
      </c>
      <c r="J210" s="201">
        <v>0</v>
      </c>
      <c r="K210" s="201">
        <v>0</v>
      </c>
      <c r="L210" s="122">
        <v>15545535</v>
      </c>
    </row>
    <row r="211" spans="1:12" ht="15" customHeight="1" x14ac:dyDescent="0.2">
      <c r="A211" s="103" t="s">
        <v>131</v>
      </c>
      <c r="B211" s="198" t="s">
        <v>106</v>
      </c>
      <c r="C211" s="37" t="s">
        <v>107</v>
      </c>
      <c r="D211" s="103">
        <v>122</v>
      </c>
      <c r="E211" s="122">
        <v>277610</v>
      </c>
      <c r="F211" s="201">
        <v>0</v>
      </c>
      <c r="G211" s="200" t="s">
        <v>457</v>
      </c>
      <c r="H211" s="122">
        <v>277610</v>
      </c>
      <c r="I211" s="201">
        <v>0</v>
      </c>
      <c r="J211" s="201">
        <v>0</v>
      </c>
      <c r="K211" s="201">
        <v>0</v>
      </c>
      <c r="L211" s="122">
        <v>277610</v>
      </c>
    </row>
    <row r="212" spans="1:12" ht="15" customHeight="1" x14ac:dyDescent="0.2">
      <c r="A212" s="103" t="s">
        <v>131</v>
      </c>
      <c r="B212" s="198" t="s">
        <v>134</v>
      </c>
      <c r="C212" s="37" t="s">
        <v>135</v>
      </c>
      <c r="D212" s="103">
        <v>118</v>
      </c>
      <c r="E212" s="122">
        <v>4797410</v>
      </c>
      <c r="F212" s="201">
        <v>0</v>
      </c>
      <c r="G212" s="200" t="s">
        <v>457</v>
      </c>
      <c r="H212" s="122">
        <v>4797410</v>
      </c>
      <c r="I212" s="201">
        <v>0</v>
      </c>
      <c r="J212" s="201">
        <v>0</v>
      </c>
      <c r="K212" s="201">
        <v>0</v>
      </c>
      <c r="L212" s="122">
        <v>4797410</v>
      </c>
    </row>
    <row r="213" spans="1:12" ht="15" customHeight="1" x14ac:dyDescent="0.2">
      <c r="A213" s="103" t="s">
        <v>131</v>
      </c>
      <c r="B213" s="198" t="s">
        <v>47</v>
      </c>
      <c r="C213" s="37" t="s">
        <v>48</v>
      </c>
      <c r="D213" s="103">
        <v>187</v>
      </c>
      <c r="E213" s="122">
        <v>9211360</v>
      </c>
      <c r="F213" s="201">
        <v>0</v>
      </c>
      <c r="G213" s="200" t="s">
        <v>457</v>
      </c>
      <c r="H213" s="122">
        <v>9211360</v>
      </c>
      <c r="I213" s="201">
        <v>0</v>
      </c>
      <c r="J213" s="201">
        <v>0</v>
      </c>
      <c r="K213" s="201">
        <v>0</v>
      </c>
      <c r="L213" s="122">
        <v>9211360</v>
      </c>
    </row>
    <row r="214" spans="1:12" ht="15" customHeight="1" x14ac:dyDescent="0.2">
      <c r="A214" s="103" t="s">
        <v>131</v>
      </c>
      <c r="B214" s="198" t="s">
        <v>108</v>
      </c>
      <c r="C214" s="37" t="s">
        <v>109</v>
      </c>
      <c r="D214" s="103">
        <v>124</v>
      </c>
      <c r="E214" s="122">
        <v>1280819</v>
      </c>
      <c r="F214" s="201">
        <v>0</v>
      </c>
      <c r="G214" s="200" t="s">
        <v>457</v>
      </c>
      <c r="H214" s="122">
        <v>1280819</v>
      </c>
      <c r="I214" s="201">
        <v>0</v>
      </c>
      <c r="J214" s="201">
        <v>0</v>
      </c>
      <c r="K214" s="201">
        <v>0</v>
      </c>
      <c r="L214" s="122">
        <v>1280819</v>
      </c>
    </row>
    <row r="215" spans="1:12" ht="15" customHeight="1" x14ac:dyDescent="0.2">
      <c r="A215" s="103" t="s">
        <v>131</v>
      </c>
      <c r="B215" s="198" t="s">
        <v>112</v>
      </c>
      <c r="C215" s="37" t="s">
        <v>113</v>
      </c>
      <c r="D215" s="103">
        <v>215</v>
      </c>
      <c r="E215" s="122">
        <v>163955</v>
      </c>
      <c r="F215" s="201">
        <v>0</v>
      </c>
      <c r="G215" s="200" t="s">
        <v>457</v>
      </c>
      <c r="H215" s="122">
        <v>163955</v>
      </c>
      <c r="I215" s="201">
        <v>0</v>
      </c>
      <c r="J215" s="201">
        <v>0</v>
      </c>
      <c r="K215" s="201">
        <v>0</v>
      </c>
      <c r="L215" s="122">
        <v>163955</v>
      </c>
    </row>
    <row r="216" spans="1:12" ht="15" customHeight="1" x14ac:dyDescent="0.2">
      <c r="A216" s="103" t="s">
        <v>131</v>
      </c>
      <c r="B216" s="198" t="s">
        <v>114</v>
      </c>
      <c r="C216" s="37" t="s">
        <v>115</v>
      </c>
      <c r="D216" s="103">
        <v>279</v>
      </c>
      <c r="E216" s="122">
        <v>123677</v>
      </c>
      <c r="F216" s="201">
        <v>0</v>
      </c>
      <c r="G216" s="200" t="s">
        <v>457</v>
      </c>
      <c r="H216" s="122">
        <v>123677</v>
      </c>
      <c r="I216" s="201">
        <v>0</v>
      </c>
      <c r="J216" s="201">
        <v>0</v>
      </c>
      <c r="K216" s="201">
        <v>0</v>
      </c>
      <c r="L216" s="122">
        <v>123677</v>
      </c>
    </row>
    <row r="217" spans="1:12" ht="15" customHeight="1" x14ac:dyDescent="0.2">
      <c r="A217" s="103" t="s">
        <v>131</v>
      </c>
      <c r="B217" s="198" t="s">
        <v>127</v>
      </c>
      <c r="C217" s="37" t="s">
        <v>128</v>
      </c>
      <c r="D217" s="103">
        <v>255</v>
      </c>
      <c r="E217" s="122">
        <v>4338</v>
      </c>
      <c r="F217" s="201">
        <v>0</v>
      </c>
      <c r="G217" s="200" t="s">
        <v>457</v>
      </c>
      <c r="H217" s="122">
        <v>4338</v>
      </c>
      <c r="I217" s="201">
        <v>0</v>
      </c>
      <c r="J217" s="201">
        <v>0</v>
      </c>
      <c r="K217" s="201">
        <v>0</v>
      </c>
      <c r="L217" s="122">
        <v>4338</v>
      </c>
    </row>
    <row r="218" spans="1:12" ht="15" customHeight="1" x14ac:dyDescent="0.2">
      <c r="A218" s="103" t="s">
        <v>131</v>
      </c>
      <c r="B218" s="198" t="s">
        <v>116</v>
      </c>
      <c r="C218" s="37" t="s">
        <v>117</v>
      </c>
      <c r="D218" s="103">
        <v>73</v>
      </c>
      <c r="E218" s="122">
        <v>834422</v>
      </c>
      <c r="F218" s="201">
        <v>0</v>
      </c>
      <c r="G218" s="200" t="s">
        <v>457</v>
      </c>
      <c r="H218" s="122">
        <v>834422</v>
      </c>
      <c r="I218" s="201">
        <v>0</v>
      </c>
      <c r="J218" s="201">
        <v>0</v>
      </c>
      <c r="K218" s="201">
        <v>0</v>
      </c>
      <c r="L218" s="122">
        <v>834422</v>
      </c>
    </row>
    <row r="219" spans="1:12" ht="15" customHeight="1" x14ac:dyDescent="0.2">
      <c r="A219" s="103" t="s">
        <v>131</v>
      </c>
      <c r="B219" s="198" t="s">
        <v>129</v>
      </c>
      <c r="C219" s="37" t="s">
        <v>130</v>
      </c>
      <c r="D219" s="103">
        <v>18</v>
      </c>
      <c r="E219" s="122">
        <v>284904</v>
      </c>
      <c r="F219" s="201">
        <v>0</v>
      </c>
      <c r="G219" s="200" t="s">
        <v>457</v>
      </c>
      <c r="H219" s="122">
        <v>284904</v>
      </c>
      <c r="I219" s="201">
        <v>0</v>
      </c>
      <c r="J219" s="201">
        <v>0</v>
      </c>
      <c r="K219" s="201">
        <v>0</v>
      </c>
      <c r="L219" s="122">
        <v>284904</v>
      </c>
    </row>
    <row r="220" spans="1:12" ht="15" customHeight="1" x14ac:dyDescent="0.2">
      <c r="A220" s="103" t="s">
        <v>131</v>
      </c>
      <c r="B220" s="198" t="s">
        <v>118</v>
      </c>
      <c r="C220" s="37" t="s">
        <v>119</v>
      </c>
      <c r="D220" s="103">
        <v>120</v>
      </c>
      <c r="E220" s="122">
        <v>551719</v>
      </c>
      <c r="F220" s="201">
        <v>0</v>
      </c>
      <c r="G220" s="200" t="s">
        <v>457</v>
      </c>
      <c r="H220" s="122">
        <v>551719</v>
      </c>
      <c r="I220" s="201">
        <v>0</v>
      </c>
      <c r="J220" s="201">
        <v>0</v>
      </c>
      <c r="K220" s="201">
        <v>0</v>
      </c>
      <c r="L220" s="122">
        <v>551719</v>
      </c>
    </row>
    <row r="221" spans="1:12" ht="15" customHeight="1" x14ac:dyDescent="0.2">
      <c r="A221" s="202" t="s">
        <v>386</v>
      </c>
      <c r="B221" s="203" t="s">
        <v>464</v>
      </c>
      <c r="C221" s="203" t="s">
        <v>464</v>
      </c>
      <c r="D221" s="203" t="s">
        <v>464</v>
      </c>
      <c r="E221" s="117">
        <f>SUBTOTAL(109,local200607[Program
Costs])</f>
        <v>66596540</v>
      </c>
      <c r="F221" s="117">
        <f>SUBTOTAL(109,local200607[Less: Net 
Payments
 and Offsets 1])</f>
        <v>2147640</v>
      </c>
      <c r="G221" s="205" t="s">
        <v>464</v>
      </c>
      <c r="H221" s="117">
        <f>SUBTOTAL(109,local200607[Accounts Payable
Balance])</f>
        <v>64448900</v>
      </c>
      <c r="I221" s="117">
        <f>SUBTOTAL(109,local200607[Established
Accounts Receivable])</f>
        <v>6821</v>
      </c>
      <c r="J221" s="118">
        <f>SUBTOTAL(109,local200607[Less: 
Recovered 
Amount])</f>
        <v>0</v>
      </c>
      <c r="K221" s="117">
        <f>SUBTOTAL(109,local200607[Accounts Receivable
Balance])</f>
        <v>6821</v>
      </c>
      <c r="L221" s="117">
        <f>SUBTOTAL(109,local200607[Net
Balance])</f>
        <v>64442079</v>
      </c>
    </row>
    <row r="222" spans="1:12" ht="15" customHeight="1" x14ac:dyDescent="0.2">
      <c r="A222" s="169" t="s">
        <v>463</v>
      </c>
      <c r="B222" s="198"/>
      <c r="C222" s="37"/>
      <c r="D222" s="103"/>
      <c r="E222" s="122"/>
      <c r="F222" s="122"/>
      <c r="G222" s="122"/>
      <c r="H222" s="122"/>
      <c r="I222" s="122"/>
      <c r="J222" s="122"/>
      <c r="K222" s="122"/>
      <c r="L222" s="122"/>
    </row>
    <row r="223" spans="1:12" ht="50.1" customHeight="1" x14ac:dyDescent="0.2">
      <c r="A223" s="40" t="s">
        <v>1</v>
      </c>
      <c r="B223" s="40" t="s">
        <v>15</v>
      </c>
      <c r="C223" s="40" t="s">
        <v>16</v>
      </c>
      <c r="D223" s="193" t="s">
        <v>454</v>
      </c>
      <c r="E223" s="194" t="s">
        <v>3</v>
      </c>
      <c r="F223" s="40" t="s">
        <v>587</v>
      </c>
      <c r="G223" s="196" t="s">
        <v>462</v>
      </c>
      <c r="H223" s="197" t="s">
        <v>461</v>
      </c>
      <c r="I223" s="197" t="s">
        <v>460</v>
      </c>
      <c r="J223" s="197" t="s">
        <v>459</v>
      </c>
      <c r="K223" s="197" t="s">
        <v>458</v>
      </c>
      <c r="L223" s="197" t="s">
        <v>17</v>
      </c>
    </row>
    <row r="224" spans="1:12" ht="15" customHeight="1" x14ac:dyDescent="0.2">
      <c r="A224" s="103" t="s">
        <v>136</v>
      </c>
      <c r="B224" s="198" t="s">
        <v>86</v>
      </c>
      <c r="C224" s="37" t="s">
        <v>87</v>
      </c>
      <c r="D224" s="103">
        <v>213</v>
      </c>
      <c r="E224" s="122">
        <v>17241364</v>
      </c>
      <c r="F224" s="122">
        <v>17241364</v>
      </c>
      <c r="G224" s="200" t="s">
        <v>457</v>
      </c>
      <c r="H224" s="201">
        <v>0</v>
      </c>
      <c r="I224" s="122">
        <v>7522234</v>
      </c>
      <c r="J224" s="122">
        <v>6773030</v>
      </c>
      <c r="K224" s="122">
        <v>749204</v>
      </c>
      <c r="L224" s="122">
        <v>-749204</v>
      </c>
    </row>
    <row r="225" spans="1:12" ht="15" customHeight="1" x14ac:dyDescent="0.2">
      <c r="A225" s="103" t="s">
        <v>136</v>
      </c>
      <c r="B225" s="198" t="s">
        <v>78</v>
      </c>
      <c r="C225" s="37" t="s">
        <v>79</v>
      </c>
      <c r="D225" s="103">
        <v>353</v>
      </c>
      <c r="E225" s="122">
        <v>866729</v>
      </c>
      <c r="F225" s="122">
        <v>866729</v>
      </c>
      <c r="G225" s="200" t="s">
        <v>457</v>
      </c>
      <c r="H225" s="201">
        <v>0</v>
      </c>
      <c r="I225" s="122">
        <v>6573</v>
      </c>
      <c r="J225" s="201">
        <v>0</v>
      </c>
      <c r="K225" s="122">
        <v>6573</v>
      </c>
      <c r="L225" s="122">
        <v>-6573</v>
      </c>
    </row>
    <row r="226" spans="1:12" ht="15" customHeight="1" x14ac:dyDescent="0.2">
      <c r="A226" s="103" t="s">
        <v>136</v>
      </c>
      <c r="B226" s="198" t="s">
        <v>132</v>
      </c>
      <c r="C226" s="37" t="s">
        <v>133</v>
      </c>
      <c r="D226" s="103">
        <v>23</v>
      </c>
      <c r="E226" s="122">
        <v>4926471</v>
      </c>
      <c r="F226" s="122">
        <v>4901214</v>
      </c>
      <c r="G226" s="200" t="s">
        <v>457</v>
      </c>
      <c r="H226" s="122">
        <v>25257</v>
      </c>
      <c r="I226" s="122">
        <v>319599</v>
      </c>
      <c r="J226" s="122">
        <v>262355</v>
      </c>
      <c r="K226" s="122">
        <v>57244</v>
      </c>
      <c r="L226" s="122">
        <v>-31987</v>
      </c>
    </row>
    <row r="227" spans="1:12" ht="15" customHeight="1" x14ac:dyDescent="0.2">
      <c r="A227" s="103" t="s">
        <v>136</v>
      </c>
      <c r="B227" s="198" t="s">
        <v>98</v>
      </c>
      <c r="C227" s="37" t="s">
        <v>99</v>
      </c>
      <c r="D227" s="103">
        <v>203</v>
      </c>
      <c r="E227" s="122">
        <v>3003738</v>
      </c>
      <c r="F227" s="122">
        <v>2950498</v>
      </c>
      <c r="G227" s="200" t="s">
        <v>457</v>
      </c>
      <c r="H227" s="122">
        <v>53240</v>
      </c>
      <c r="I227" s="122">
        <v>341376</v>
      </c>
      <c r="J227" s="122">
        <v>341376</v>
      </c>
      <c r="K227" s="201">
        <v>0</v>
      </c>
      <c r="L227" s="122">
        <v>53240</v>
      </c>
    </row>
    <row r="228" spans="1:12" ht="15" customHeight="1" x14ac:dyDescent="0.2">
      <c r="A228" s="103" t="s">
        <v>136</v>
      </c>
      <c r="B228" s="198" t="s">
        <v>186</v>
      </c>
      <c r="C228" s="37" t="s">
        <v>187</v>
      </c>
      <c r="D228" s="103">
        <v>314</v>
      </c>
      <c r="E228" s="122">
        <v>919345</v>
      </c>
      <c r="F228" s="122">
        <v>910934</v>
      </c>
      <c r="G228" s="200" t="s">
        <v>457</v>
      </c>
      <c r="H228" s="122">
        <v>8411</v>
      </c>
      <c r="I228" s="201">
        <v>0</v>
      </c>
      <c r="J228" s="201">
        <v>0</v>
      </c>
      <c r="K228" s="201">
        <v>0</v>
      </c>
      <c r="L228" s="122">
        <v>8411</v>
      </c>
    </row>
    <row r="229" spans="1:12" ht="15" customHeight="1" x14ac:dyDescent="0.2">
      <c r="A229" s="103" t="s">
        <v>136</v>
      </c>
      <c r="B229" s="198" t="s">
        <v>104</v>
      </c>
      <c r="C229" s="37" t="s">
        <v>105</v>
      </c>
      <c r="D229" s="103">
        <v>200</v>
      </c>
      <c r="E229" s="122">
        <v>1707977</v>
      </c>
      <c r="F229" s="122">
        <v>1702574</v>
      </c>
      <c r="G229" s="200" t="s">
        <v>457</v>
      </c>
      <c r="H229" s="122">
        <v>5403</v>
      </c>
      <c r="I229" s="122">
        <v>439438</v>
      </c>
      <c r="J229" s="122">
        <v>439438</v>
      </c>
      <c r="K229" s="201">
        <v>0</v>
      </c>
      <c r="L229" s="122">
        <v>5403</v>
      </c>
    </row>
    <row r="230" spans="1:12" ht="15" customHeight="1" x14ac:dyDescent="0.2">
      <c r="A230" s="103" t="s">
        <v>136</v>
      </c>
      <c r="B230" s="198" t="s">
        <v>71</v>
      </c>
      <c r="C230" s="37" t="s">
        <v>72</v>
      </c>
      <c r="D230" s="103">
        <v>219</v>
      </c>
      <c r="E230" s="122">
        <v>14755073</v>
      </c>
      <c r="F230" s="122">
        <v>0</v>
      </c>
      <c r="G230" s="200" t="s">
        <v>457</v>
      </c>
      <c r="H230" s="122">
        <v>14755073</v>
      </c>
      <c r="I230" s="201">
        <v>0</v>
      </c>
      <c r="J230" s="201">
        <v>0</v>
      </c>
      <c r="K230" s="201">
        <v>0</v>
      </c>
      <c r="L230" s="122">
        <v>14755073</v>
      </c>
    </row>
    <row r="231" spans="1:12" ht="15" customHeight="1" x14ac:dyDescent="0.2">
      <c r="A231" s="103" t="s">
        <v>136</v>
      </c>
      <c r="B231" s="198" t="s">
        <v>134</v>
      </c>
      <c r="C231" s="37" t="s">
        <v>135</v>
      </c>
      <c r="D231" s="103">
        <v>118</v>
      </c>
      <c r="E231" s="122">
        <v>5458348</v>
      </c>
      <c r="F231" s="122">
        <v>5346969</v>
      </c>
      <c r="G231" s="200" t="s">
        <v>457</v>
      </c>
      <c r="H231" s="122">
        <v>111379</v>
      </c>
      <c r="I231" s="122">
        <v>499658</v>
      </c>
      <c r="J231" s="122">
        <v>499658</v>
      </c>
      <c r="K231" s="201">
        <v>0</v>
      </c>
      <c r="L231" s="122">
        <v>111379</v>
      </c>
    </row>
    <row r="232" spans="1:12" ht="15" customHeight="1" x14ac:dyDescent="0.2">
      <c r="A232" s="103" t="s">
        <v>136</v>
      </c>
      <c r="B232" s="198" t="s">
        <v>47</v>
      </c>
      <c r="C232" s="37" t="s">
        <v>48</v>
      </c>
      <c r="D232" s="103">
        <v>187</v>
      </c>
      <c r="E232" s="122">
        <v>9846865</v>
      </c>
      <c r="F232" s="122">
        <v>7917464</v>
      </c>
      <c r="G232" s="200" t="s">
        <v>457</v>
      </c>
      <c r="H232" s="122">
        <v>1929401</v>
      </c>
      <c r="I232" s="122">
        <v>10543101</v>
      </c>
      <c r="J232" s="122">
        <v>10543101</v>
      </c>
      <c r="K232" s="201">
        <v>0</v>
      </c>
      <c r="L232" s="122">
        <v>1929401</v>
      </c>
    </row>
    <row r="233" spans="1:12" ht="15" customHeight="1" x14ac:dyDescent="0.2">
      <c r="A233" s="103" t="s">
        <v>136</v>
      </c>
      <c r="B233" s="198" t="s">
        <v>112</v>
      </c>
      <c r="C233" s="37" t="s">
        <v>113</v>
      </c>
      <c r="D233" s="103">
        <v>215</v>
      </c>
      <c r="E233" s="122">
        <v>309808</v>
      </c>
      <c r="F233" s="122">
        <v>298328</v>
      </c>
      <c r="G233" s="200" t="s">
        <v>457</v>
      </c>
      <c r="H233" s="122">
        <v>11480</v>
      </c>
      <c r="I233" s="122">
        <v>224111</v>
      </c>
      <c r="J233" s="122">
        <v>224111</v>
      </c>
      <c r="K233" s="201">
        <v>0</v>
      </c>
      <c r="L233" s="122">
        <v>11480</v>
      </c>
    </row>
    <row r="234" spans="1:12" ht="15" customHeight="1" x14ac:dyDescent="0.2">
      <c r="A234" s="103" t="s">
        <v>136</v>
      </c>
      <c r="B234" s="198" t="s">
        <v>114</v>
      </c>
      <c r="C234" s="37" t="s">
        <v>115</v>
      </c>
      <c r="D234" s="103">
        <v>279</v>
      </c>
      <c r="E234" s="122">
        <v>359305</v>
      </c>
      <c r="F234" s="122">
        <v>334797</v>
      </c>
      <c r="G234" s="200" t="s">
        <v>457</v>
      </c>
      <c r="H234" s="122">
        <v>24508</v>
      </c>
      <c r="I234" s="201">
        <v>0</v>
      </c>
      <c r="J234" s="201">
        <v>0</v>
      </c>
      <c r="K234" s="201">
        <v>0</v>
      </c>
      <c r="L234" s="122">
        <v>24508</v>
      </c>
    </row>
    <row r="235" spans="1:12" ht="15" customHeight="1" x14ac:dyDescent="0.2">
      <c r="A235" s="103" t="s">
        <v>136</v>
      </c>
      <c r="B235" s="198" t="s">
        <v>129</v>
      </c>
      <c r="C235" s="37" t="s">
        <v>130</v>
      </c>
      <c r="D235" s="103">
        <v>18</v>
      </c>
      <c r="E235" s="122">
        <v>273468</v>
      </c>
      <c r="F235" s="122">
        <v>273084</v>
      </c>
      <c r="G235" s="200" t="s">
        <v>457</v>
      </c>
      <c r="H235" s="122">
        <v>384</v>
      </c>
      <c r="I235" s="122">
        <v>384</v>
      </c>
      <c r="J235" s="122">
        <v>384</v>
      </c>
      <c r="K235" s="201">
        <v>0</v>
      </c>
      <c r="L235" s="122">
        <v>384</v>
      </c>
    </row>
    <row r="236" spans="1:12" ht="15" customHeight="1" x14ac:dyDescent="0.2">
      <c r="A236" s="202" t="s">
        <v>387</v>
      </c>
      <c r="B236" s="203" t="s">
        <v>464</v>
      </c>
      <c r="C236" s="203" t="s">
        <v>464</v>
      </c>
      <c r="D236" s="203" t="s">
        <v>464</v>
      </c>
      <c r="E236" s="117">
        <f>SUBTOTAL(109,local200506[Program
Costs])</f>
        <v>59668491</v>
      </c>
      <c r="F236" s="117">
        <f>SUBTOTAL(109,local200506[Less: Net 
Payments
 and Offsets 1])</f>
        <v>42743955</v>
      </c>
      <c r="G236" s="203" t="s">
        <v>464</v>
      </c>
      <c r="H236" s="117">
        <f>SUBTOTAL(109,local200506[Accounts Payable
Balance])</f>
        <v>16924536</v>
      </c>
      <c r="I236" s="117">
        <f>SUBTOTAL(109,local200506[Established
Accounts Receivable])</f>
        <v>19896474</v>
      </c>
      <c r="J236" s="117">
        <f>SUBTOTAL(109,local200506[Less: 
Recovered 
Amount])</f>
        <v>19083453</v>
      </c>
      <c r="K236" s="117">
        <f>SUBTOTAL(109,local200506[Accounts Receivable
Balance])</f>
        <v>813021</v>
      </c>
      <c r="L236" s="117">
        <f>SUBTOTAL(109,local200506[Net
Balance])</f>
        <v>16111515</v>
      </c>
    </row>
    <row r="237" spans="1:12" x14ac:dyDescent="0.2">
      <c r="A237" s="169" t="s">
        <v>463</v>
      </c>
      <c r="B237" s="198"/>
      <c r="C237" s="37"/>
      <c r="D237" s="103"/>
      <c r="E237" s="122"/>
      <c r="F237" s="122"/>
      <c r="G237" s="122"/>
      <c r="H237" s="122"/>
      <c r="I237" s="122"/>
      <c r="J237" s="122"/>
      <c r="K237" s="122"/>
      <c r="L237" s="122"/>
    </row>
    <row r="238" spans="1:12" ht="50.1" customHeight="1" x14ac:dyDescent="0.2">
      <c r="A238" s="40" t="s">
        <v>1</v>
      </c>
      <c r="B238" s="40" t="s">
        <v>15</v>
      </c>
      <c r="C238" s="40" t="s">
        <v>16</v>
      </c>
      <c r="D238" s="193" t="s">
        <v>454</v>
      </c>
      <c r="E238" s="194" t="s">
        <v>3</v>
      </c>
      <c r="F238" s="40" t="s">
        <v>587</v>
      </c>
      <c r="G238" s="196" t="s">
        <v>462</v>
      </c>
      <c r="H238" s="197" t="s">
        <v>461</v>
      </c>
      <c r="I238" s="197" t="s">
        <v>460</v>
      </c>
      <c r="J238" s="197" t="s">
        <v>459</v>
      </c>
      <c r="K238" s="197" t="s">
        <v>458</v>
      </c>
      <c r="L238" s="197" t="s">
        <v>17</v>
      </c>
    </row>
    <row r="239" spans="1:12" ht="15" customHeight="1" x14ac:dyDescent="0.2">
      <c r="A239" s="103" t="s">
        <v>137</v>
      </c>
      <c r="B239" s="198" t="s">
        <v>86</v>
      </c>
      <c r="C239" s="37" t="s">
        <v>87</v>
      </c>
      <c r="D239" s="103">
        <v>213</v>
      </c>
      <c r="E239" s="122">
        <v>17225079</v>
      </c>
      <c r="F239" s="122">
        <v>17202021</v>
      </c>
      <c r="G239" s="200" t="s">
        <v>457</v>
      </c>
      <c r="H239" s="122">
        <v>23058</v>
      </c>
      <c r="I239" s="122">
        <v>4824796</v>
      </c>
      <c r="J239" s="122">
        <v>4215467</v>
      </c>
      <c r="K239" s="122">
        <v>609329</v>
      </c>
      <c r="L239" s="122">
        <v>-586271</v>
      </c>
    </row>
    <row r="240" spans="1:12" ht="15" customHeight="1" x14ac:dyDescent="0.2">
      <c r="A240" s="103" t="s">
        <v>137</v>
      </c>
      <c r="B240" s="198" t="s">
        <v>78</v>
      </c>
      <c r="C240" s="37" t="s">
        <v>79</v>
      </c>
      <c r="D240" s="103">
        <v>353</v>
      </c>
      <c r="E240" s="122">
        <v>660948</v>
      </c>
      <c r="F240" s="122">
        <v>660948</v>
      </c>
      <c r="G240" s="200" t="s">
        <v>457</v>
      </c>
      <c r="H240" s="201">
        <v>0</v>
      </c>
      <c r="I240" s="122">
        <v>6766</v>
      </c>
      <c r="J240" s="201">
        <v>0</v>
      </c>
      <c r="K240" s="122">
        <v>6766</v>
      </c>
      <c r="L240" s="122">
        <v>-6766</v>
      </c>
    </row>
    <row r="241" spans="1:12" ht="15" customHeight="1" x14ac:dyDescent="0.2">
      <c r="A241" s="103" t="s">
        <v>137</v>
      </c>
      <c r="B241" s="198" t="s">
        <v>96</v>
      </c>
      <c r="C241" s="37" t="s">
        <v>97</v>
      </c>
      <c r="D241" s="103">
        <v>300</v>
      </c>
      <c r="E241" s="122">
        <v>196139</v>
      </c>
      <c r="F241" s="122">
        <v>192604</v>
      </c>
      <c r="G241" s="200" t="s">
        <v>457</v>
      </c>
      <c r="H241" s="122">
        <v>3535</v>
      </c>
      <c r="I241" s="201">
        <v>0</v>
      </c>
      <c r="J241" s="201">
        <v>0</v>
      </c>
      <c r="K241" s="201">
        <v>0</v>
      </c>
      <c r="L241" s="122">
        <v>3535</v>
      </c>
    </row>
    <row r="242" spans="1:12" ht="15" customHeight="1" x14ac:dyDescent="0.2">
      <c r="A242" s="103" t="s">
        <v>137</v>
      </c>
      <c r="B242" s="198" t="s">
        <v>186</v>
      </c>
      <c r="C242" s="37" t="s">
        <v>187</v>
      </c>
      <c r="D242" s="103">
        <v>314</v>
      </c>
      <c r="E242" s="122">
        <v>883102</v>
      </c>
      <c r="F242" s="122">
        <v>874691</v>
      </c>
      <c r="G242" s="200" t="s">
        <v>457</v>
      </c>
      <c r="H242" s="122">
        <v>8411</v>
      </c>
      <c r="I242" s="201">
        <v>0</v>
      </c>
      <c r="J242" s="201">
        <v>0</v>
      </c>
      <c r="K242" s="201">
        <v>0</v>
      </c>
      <c r="L242" s="122">
        <v>8411</v>
      </c>
    </row>
    <row r="243" spans="1:12" ht="15" customHeight="1" x14ac:dyDescent="0.2">
      <c r="A243" s="103" t="s">
        <v>137</v>
      </c>
      <c r="B243" s="198" t="s">
        <v>71</v>
      </c>
      <c r="C243" s="37" t="s">
        <v>72</v>
      </c>
      <c r="D243" s="103">
        <v>219</v>
      </c>
      <c r="E243" s="122">
        <v>13579524</v>
      </c>
      <c r="F243" s="122">
        <v>400803</v>
      </c>
      <c r="G243" s="200" t="s">
        <v>457</v>
      </c>
      <c r="H243" s="122">
        <v>13178721</v>
      </c>
      <c r="I243" s="122">
        <v>187248</v>
      </c>
      <c r="J243" s="122">
        <v>179625</v>
      </c>
      <c r="K243" s="122">
        <v>7623</v>
      </c>
      <c r="L243" s="122">
        <v>13171098</v>
      </c>
    </row>
    <row r="244" spans="1:12" ht="15" customHeight="1" x14ac:dyDescent="0.2">
      <c r="A244" s="103" t="s">
        <v>137</v>
      </c>
      <c r="B244" s="198" t="s">
        <v>47</v>
      </c>
      <c r="C244" s="37" t="s">
        <v>48</v>
      </c>
      <c r="D244" s="103">
        <v>187</v>
      </c>
      <c r="E244" s="122">
        <v>13310225</v>
      </c>
      <c r="F244" s="122">
        <v>11075800</v>
      </c>
      <c r="G244" s="200" t="s">
        <v>457</v>
      </c>
      <c r="H244" s="122">
        <v>2234425</v>
      </c>
      <c r="I244" s="122">
        <v>6047022</v>
      </c>
      <c r="J244" s="122">
        <v>6047022</v>
      </c>
      <c r="K244" s="201">
        <v>0</v>
      </c>
      <c r="L244" s="122">
        <v>2234425</v>
      </c>
    </row>
    <row r="245" spans="1:12" ht="15" customHeight="1" x14ac:dyDescent="0.2">
      <c r="A245" s="103" t="s">
        <v>137</v>
      </c>
      <c r="B245" s="198" t="s">
        <v>114</v>
      </c>
      <c r="C245" s="37" t="s">
        <v>115</v>
      </c>
      <c r="D245" s="103">
        <v>279</v>
      </c>
      <c r="E245" s="122">
        <v>173372</v>
      </c>
      <c r="F245" s="122">
        <v>134566</v>
      </c>
      <c r="G245" s="200" t="s">
        <v>457</v>
      </c>
      <c r="H245" s="122">
        <v>38806</v>
      </c>
      <c r="I245" s="201">
        <v>0</v>
      </c>
      <c r="J245" s="201">
        <v>0</v>
      </c>
      <c r="K245" s="201">
        <v>0</v>
      </c>
      <c r="L245" s="122">
        <v>38806</v>
      </c>
    </row>
    <row r="246" spans="1:12" ht="15" customHeight="1" x14ac:dyDescent="0.2">
      <c r="A246" s="103" t="s">
        <v>137</v>
      </c>
      <c r="B246" s="198" t="s">
        <v>129</v>
      </c>
      <c r="C246" s="37" t="s">
        <v>130</v>
      </c>
      <c r="D246" s="103">
        <v>18</v>
      </c>
      <c r="E246" s="122">
        <v>258165</v>
      </c>
      <c r="F246" s="122">
        <v>258032</v>
      </c>
      <c r="G246" s="200" t="s">
        <v>457</v>
      </c>
      <c r="H246" s="122">
        <v>133</v>
      </c>
      <c r="I246" s="122">
        <v>133</v>
      </c>
      <c r="J246" s="122">
        <v>133</v>
      </c>
      <c r="K246" s="201">
        <v>0</v>
      </c>
      <c r="L246" s="122">
        <v>133</v>
      </c>
    </row>
    <row r="247" spans="1:12" ht="15" customHeight="1" x14ac:dyDescent="0.2">
      <c r="A247" s="202" t="s">
        <v>388</v>
      </c>
      <c r="B247" s="203" t="s">
        <v>464</v>
      </c>
      <c r="C247" s="203" t="s">
        <v>464</v>
      </c>
      <c r="D247" s="203" t="s">
        <v>464</v>
      </c>
      <c r="E247" s="117">
        <f>SUBTOTAL(109,local200405[Program
Costs])</f>
        <v>46286554</v>
      </c>
      <c r="F247" s="117">
        <f>SUBTOTAL(109,local200405[Less: Net 
Payments
 and Offsets 1])</f>
        <v>30799465</v>
      </c>
      <c r="G247" s="205" t="s">
        <v>464</v>
      </c>
      <c r="H247" s="117">
        <f>SUBTOTAL(109,local200405[Accounts Payable
Balance])</f>
        <v>15487089</v>
      </c>
      <c r="I247" s="117">
        <f>SUBTOTAL(109,local200405[Established
Accounts Receivable])</f>
        <v>11065965</v>
      </c>
      <c r="J247" s="117">
        <f>SUBTOTAL(109,local200405[Less: 
Recovered 
Amount])</f>
        <v>10442247</v>
      </c>
      <c r="K247" s="117">
        <f>SUBTOTAL(109,local200405[Accounts Receivable
Balance])</f>
        <v>623718</v>
      </c>
      <c r="L247" s="117">
        <f>SUBTOTAL(109,local200405[Net
Balance])</f>
        <v>14863371</v>
      </c>
    </row>
    <row r="248" spans="1:12" ht="15.75" customHeight="1" x14ac:dyDescent="0.2">
      <c r="A248" s="169" t="s">
        <v>463</v>
      </c>
      <c r="B248" s="198"/>
      <c r="C248" s="37"/>
      <c r="D248" s="103"/>
      <c r="E248" s="122"/>
      <c r="F248" s="122"/>
      <c r="G248" s="122"/>
      <c r="H248" s="122"/>
      <c r="I248" s="122"/>
      <c r="J248" s="122"/>
      <c r="K248" s="122"/>
      <c r="L248" s="122"/>
    </row>
    <row r="249" spans="1:12" ht="50.1" customHeight="1" x14ac:dyDescent="0.2">
      <c r="A249" s="40" t="s">
        <v>1</v>
      </c>
      <c r="B249" s="40" t="s">
        <v>15</v>
      </c>
      <c r="C249" s="40" t="s">
        <v>16</v>
      </c>
      <c r="D249" s="193" t="s">
        <v>454</v>
      </c>
      <c r="E249" s="194" t="s">
        <v>3</v>
      </c>
      <c r="F249" s="40" t="s">
        <v>587</v>
      </c>
      <c r="G249" s="196" t="s">
        <v>462</v>
      </c>
      <c r="H249" s="197" t="s">
        <v>461</v>
      </c>
      <c r="I249" s="197" t="s">
        <v>460</v>
      </c>
      <c r="J249" s="197" t="s">
        <v>459</v>
      </c>
      <c r="K249" s="197" t="s">
        <v>458</v>
      </c>
      <c r="L249" s="197" t="s">
        <v>17</v>
      </c>
    </row>
    <row r="250" spans="1:12" ht="15" customHeight="1" x14ac:dyDescent="0.2">
      <c r="A250" s="103" t="s">
        <v>138</v>
      </c>
      <c r="B250" s="198" t="s">
        <v>74</v>
      </c>
      <c r="C250" s="37" t="s">
        <v>75</v>
      </c>
      <c r="D250" s="103">
        <v>2</v>
      </c>
      <c r="E250" s="122">
        <v>17563599</v>
      </c>
      <c r="F250" s="122">
        <v>17516451</v>
      </c>
      <c r="G250" s="200" t="s">
        <v>457</v>
      </c>
      <c r="H250" s="122">
        <v>47148</v>
      </c>
      <c r="I250" s="122">
        <v>2316857</v>
      </c>
      <c r="J250" s="122">
        <v>2316857</v>
      </c>
      <c r="K250" s="201">
        <v>0</v>
      </c>
      <c r="L250" s="122">
        <v>47148</v>
      </c>
    </row>
    <row r="251" spans="1:12" ht="15" customHeight="1" x14ac:dyDescent="0.2">
      <c r="A251" s="103" t="s">
        <v>138</v>
      </c>
      <c r="B251" s="198" t="s">
        <v>86</v>
      </c>
      <c r="C251" s="37" t="s">
        <v>87</v>
      </c>
      <c r="D251" s="103">
        <v>213</v>
      </c>
      <c r="E251" s="122">
        <v>19847433</v>
      </c>
      <c r="F251" s="122">
        <v>19847433</v>
      </c>
      <c r="G251" s="200" t="s">
        <v>457</v>
      </c>
      <c r="H251" s="201">
        <v>0</v>
      </c>
      <c r="I251" s="122">
        <v>3917590</v>
      </c>
      <c r="J251" s="122">
        <v>3843233</v>
      </c>
      <c r="K251" s="122">
        <v>74357</v>
      </c>
      <c r="L251" s="122">
        <v>-74357</v>
      </c>
    </row>
    <row r="252" spans="1:12" ht="15" customHeight="1" x14ac:dyDescent="0.2">
      <c r="A252" s="103" t="s">
        <v>138</v>
      </c>
      <c r="B252" s="198" t="s">
        <v>78</v>
      </c>
      <c r="C252" s="37" t="s">
        <v>79</v>
      </c>
      <c r="D252" s="103">
        <v>353</v>
      </c>
      <c r="E252" s="122">
        <v>515185</v>
      </c>
      <c r="F252" s="122">
        <v>515185</v>
      </c>
      <c r="G252" s="200" t="s">
        <v>457</v>
      </c>
      <c r="H252" s="201">
        <v>0</v>
      </c>
      <c r="I252" s="122">
        <v>5351</v>
      </c>
      <c r="J252" s="201">
        <v>0</v>
      </c>
      <c r="K252" s="122">
        <v>5351</v>
      </c>
      <c r="L252" s="122">
        <v>-5351</v>
      </c>
    </row>
    <row r="253" spans="1:12" ht="15" customHeight="1" x14ac:dyDescent="0.2">
      <c r="A253" s="103" t="s">
        <v>138</v>
      </c>
      <c r="B253" s="198" t="s">
        <v>186</v>
      </c>
      <c r="C253" s="37" t="s">
        <v>187</v>
      </c>
      <c r="D253" s="103">
        <v>314</v>
      </c>
      <c r="E253" s="122">
        <v>825575</v>
      </c>
      <c r="F253" s="122">
        <v>817164</v>
      </c>
      <c r="G253" s="200" t="s">
        <v>457</v>
      </c>
      <c r="H253" s="122">
        <v>8411</v>
      </c>
      <c r="I253" s="201">
        <v>0</v>
      </c>
      <c r="J253" s="201">
        <v>0</v>
      </c>
      <c r="K253" s="122">
        <v>0</v>
      </c>
      <c r="L253" s="122">
        <v>8411</v>
      </c>
    </row>
    <row r="254" spans="1:12" ht="15" customHeight="1" x14ac:dyDescent="0.2">
      <c r="A254" s="103" t="s">
        <v>138</v>
      </c>
      <c r="B254" s="198" t="s">
        <v>71</v>
      </c>
      <c r="C254" s="37" t="s">
        <v>72</v>
      </c>
      <c r="D254" s="103">
        <v>219</v>
      </c>
      <c r="E254" s="122">
        <v>14784873</v>
      </c>
      <c r="F254" s="122">
        <v>14433621</v>
      </c>
      <c r="G254" s="200" t="s">
        <v>457</v>
      </c>
      <c r="H254" s="122">
        <v>351252</v>
      </c>
      <c r="I254" s="122">
        <v>1695469</v>
      </c>
      <c r="J254" s="122">
        <v>1688569</v>
      </c>
      <c r="K254" s="122">
        <v>6900</v>
      </c>
      <c r="L254" s="122">
        <v>344352</v>
      </c>
    </row>
    <row r="255" spans="1:12" ht="15" customHeight="1" x14ac:dyDescent="0.2">
      <c r="A255" s="103" t="s">
        <v>138</v>
      </c>
      <c r="B255" s="198" t="s">
        <v>47</v>
      </c>
      <c r="C255" s="37" t="s">
        <v>48</v>
      </c>
      <c r="D255" s="103">
        <v>187</v>
      </c>
      <c r="E255" s="122">
        <v>13187078</v>
      </c>
      <c r="F255" s="201">
        <v>0</v>
      </c>
      <c r="G255" s="200" t="s">
        <v>457</v>
      </c>
      <c r="H255" s="122">
        <v>13187078</v>
      </c>
      <c r="I255" s="201">
        <v>0</v>
      </c>
      <c r="J255" s="201">
        <v>0</v>
      </c>
      <c r="K255" s="201">
        <v>0</v>
      </c>
      <c r="L255" s="122">
        <v>13187078</v>
      </c>
    </row>
    <row r="256" spans="1:12" ht="15" customHeight="1" x14ac:dyDescent="0.2">
      <c r="A256" s="103" t="s">
        <v>138</v>
      </c>
      <c r="B256" s="198" t="s">
        <v>114</v>
      </c>
      <c r="C256" s="37" t="s">
        <v>115</v>
      </c>
      <c r="D256" s="103">
        <v>279</v>
      </c>
      <c r="E256" s="122">
        <v>31183</v>
      </c>
      <c r="F256" s="122">
        <v>17053</v>
      </c>
      <c r="G256" s="200" t="s">
        <v>457</v>
      </c>
      <c r="H256" s="122">
        <v>14130</v>
      </c>
      <c r="I256" s="201">
        <v>0</v>
      </c>
      <c r="J256" s="201">
        <v>0</v>
      </c>
      <c r="K256" s="201">
        <v>0</v>
      </c>
      <c r="L256" s="122">
        <v>14130</v>
      </c>
    </row>
    <row r="257" spans="1:12" ht="15" customHeight="1" x14ac:dyDescent="0.2">
      <c r="A257" s="202" t="s">
        <v>389</v>
      </c>
      <c r="B257" s="203" t="s">
        <v>464</v>
      </c>
      <c r="C257" s="203" t="s">
        <v>464</v>
      </c>
      <c r="D257" s="203" t="s">
        <v>464</v>
      </c>
      <c r="E257" s="117">
        <f>SUBTOTAL(109,local200304[Program
Costs])</f>
        <v>66754926</v>
      </c>
      <c r="F257" s="117">
        <f>SUBTOTAL(109,local200304[Less: Net 
Payments
 and Offsets 1])</f>
        <v>53146907</v>
      </c>
      <c r="G257" s="203" t="s">
        <v>464</v>
      </c>
      <c r="H257" s="117">
        <f>SUBTOTAL(109,local200304[Accounts Payable
Balance])</f>
        <v>13608019</v>
      </c>
      <c r="I257" s="204">
        <f>SUBTOTAL(109,local200304[Established
Accounts Receivable])</f>
        <v>7935267</v>
      </c>
      <c r="J257" s="204">
        <f>SUBTOTAL(109,local200304[Less: 
Recovered 
Amount])</f>
        <v>7848659</v>
      </c>
      <c r="K257" s="204">
        <f>SUBTOTAL(109,local200304[Accounts Receivable
Balance])</f>
        <v>86608</v>
      </c>
      <c r="L257" s="117">
        <f>SUBTOTAL(109,local200304[Net
Balance])</f>
        <v>13521411</v>
      </c>
    </row>
    <row r="258" spans="1:12" x14ac:dyDescent="0.2">
      <c r="A258" s="169" t="s">
        <v>463</v>
      </c>
      <c r="B258" s="198"/>
      <c r="C258" s="37"/>
      <c r="D258" s="103"/>
      <c r="E258" s="122"/>
      <c r="F258" s="122"/>
      <c r="G258" s="122"/>
      <c r="H258" s="122"/>
      <c r="I258" s="122"/>
      <c r="J258" s="122"/>
      <c r="K258" s="122"/>
      <c r="L258" s="122"/>
    </row>
    <row r="259" spans="1:12" ht="50.1" customHeight="1" x14ac:dyDescent="0.2">
      <c r="A259" s="40" t="s">
        <v>1</v>
      </c>
      <c r="B259" s="40" t="s">
        <v>15</v>
      </c>
      <c r="C259" s="40" t="s">
        <v>16</v>
      </c>
      <c r="D259" s="193" t="s">
        <v>454</v>
      </c>
      <c r="E259" s="194" t="s">
        <v>3</v>
      </c>
      <c r="F259" s="40" t="s">
        <v>587</v>
      </c>
      <c r="G259" s="196" t="s">
        <v>462</v>
      </c>
      <c r="H259" s="197" t="s">
        <v>461</v>
      </c>
      <c r="I259" s="197" t="s">
        <v>460</v>
      </c>
      <c r="J259" s="197" t="s">
        <v>459</v>
      </c>
      <c r="K259" s="197" t="s">
        <v>458</v>
      </c>
      <c r="L259" s="197" t="s">
        <v>17</v>
      </c>
    </row>
    <row r="260" spans="1:12" ht="15" customHeight="1" x14ac:dyDescent="0.2">
      <c r="A260" s="103" t="s">
        <v>139</v>
      </c>
      <c r="B260" s="198" t="s">
        <v>80</v>
      </c>
      <c r="C260" s="37" t="s">
        <v>81</v>
      </c>
      <c r="D260" s="103">
        <v>289</v>
      </c>
      <c r="E260" s="122">
        <v>11904</v>
      </c>
      <c r="F260" s="201">
        <v>0</v>
      </c>
      <c r="G260" s="200" t="s">
        <v>457</v>
      </c>
      <c r="H260" s="122">
        <v>11904</v>
      </c>
      <c r="I260" s="201">
        <v>0</v>
      </c>
      <c r="J260" s="201">
        <v>0</v>
      </c>
      <c r="K260" s="201">
        <v>0</v>
      </c>
      <c r="L260" s="122">
        <v>11904</v>
      </c>
    </row>
    <row r="261" spans="1:12" ht="15" customHeight="1" x14ac:dyDescent="0.2">
      <c r="A261" s="103" t="s">
        <v>139</v>
      </c>
      <c r="B261" s="198" t="s">
        <v>186</v>
      </c>
      <c r="C261" s="37" t="s">
        <v>187</v>
      </c>
      <c r="D261" s="103">
        <v>314</v>
      </c>
      <c r="E261" s="122">
        <v>839578</v>
      </c>
      <c r="F261" s="122">
        <v>831167</v>
      </c>
      <c r="G261" s="200" t="s">
        <v>457</v>
      </c>
      <c r="H261" s="122">
        <v>8411</v>
      </c>
      <c r="I261" s="201">
        <v>0</v>
      </c>
      <c r="J261" s="201">
        <v>0</v>
      </c>
      <c r="K261" s="201">
        <v>0</v>
      </c>
      <c r="L261" s="122">
        <v>8411</v>
      </c>
    </row>
    <row r="262" spans="1:12" ht="15" customHeight="1" x14ac:dyDescent="0.2">
      <c r="A262" s="103" t="s">
        <v>139</v>
      </c>
      <c r="B262" s="198" t="s">
        <v>114</v>
      </c>
      <c r="C262" s="37" t="s">
        <v>115</v>
      </c>
      <c r="D262" s="103">
        <v>279</v>
      </c>
      <c r="E262" s="122">
        <v>148711</v>
      </c>
      <c r="F262" s="122">
        <v>124059</v>
      </c>
      <c r="G262" s="200" t="s">
        <v>457</v>
      </c>
      <c r="H262" s="122">
        <v>24652</v>
      </c>
      <c r="I262" s="201">
        <v>0</v>
      </c>
      <c r="J262" s="201">
        <v>0</v>
      </c>
      <c r="K262" s="201">
        <v>0</v>
      </c>
      <c r="L262" s="122">
        <v>24652</v>
      </c>
    </row>
    <row r="263" spans="1:12" ht="15" customHeight="1" x14ac:dyDescent="0.2">
      <c r="A263" s="202" t="s">
        <v>390</v>
      </c>
      <c r="B263" s="203" t="s">
        <v>464</v>
      </c>
      <c r="C263" s="203" t="s">
        <v>464</v>
      </c>
      <c r="D263" s="203" t="s">
        <v>464</v>
      </c>
      <c r="E263" s="117">
        <f>SUBTOTAL(109,local200203[Program
Costs])</f>
        <v>1000193</v>
      </c>
      <c r="F263" s="117">
        <f>SUBTOTAL(109,local200203[Less: Net 
Payments
 and Offsets 1])</f>
        <v>955226</v>
      </c>
      <c r="G263" s="203" t="s">
        <v>464</v>
      </c>
      <c r="H263" s="117">
        <f>SUBTOTAL(109,local200203[Accounts Payable
Balance])</f>
        <v>44967</v>
      </c>
      <c r="I263" s="204">
        <f>SUBTOTAL(109,local200203[Established
Accounts Receivable])</f>
        <v>0</v>
      </c>
      <c r="J263" s="204">
        <f>SUBTOTAL(109,local200203[Less: 
Recovered 
Amount])</f>
        <v>0</v>
      </c>
      <c r="K263" s="204">
        <f>SUBTOTAL(109,local200203[Accounts Receivable
Balance])</f>
        <v>0</v>
      </c>
      <c r="L263" s="117">
        <f>SUBTOTAL(109,local200203[Net
Balance])</f>
        <v>44967</v>
      </c>
    </row>
    <row r="264" spans="1:12" ht="15.75" customHeight="1" x14ac:dyDescent="0.2">
      <c r="A264" s="169" t="s">
        <v>463</v>
      </c>
      <c r="B264" s="198"/>
      <c r="C264" s="37"/>
      <c r="D264" s="103"/>
      <c r="E264" s="122"/>
      <c r="F264" s="122"/>
      <c r="G264" s="122"/>
      <c r="H264" s="122"/>
      <c r="I264" s="122"/>
      <c r="J264" s="122"/>
      <c r="K264" s="122"/>
      <c r="L264" s="122"/>
    </row>
    <row r="265" spans="1:12" ht="50.1" customHeight="1" x14ac:dyDescent="0.2">
      <c r="A265" s="40" t="s">
        <v>1</v>
      </c>
      <c r="B265" s="40" t="s">
        <v>15</v>
      </c>
      <c r="C265" s="40" t="s">
        <v>16</v>
      </c>
      <c r="D265" s="193" t="s">
        <v>454</v>
      </c>
      <c r="E265" s="194" t="s">
        <v>3</v>
      </c>
      <c r="F265" s="40" t="s">
        <v>587</v>
      </c>
      <c r="G265" s="196" t="s">
        <v>462</v>
      </c>
      <c r="H265" s="197" t="s">
        <v>461</v>
      </c>
      <c r="I265" s="197" t="s">
        <v>460</v>
      </c>
      <c r="J265" s="197" t="s">
        <v>459</v>
      </c>
      <c r="K265" s="197" t="s">
        <v>458</v>
      </c>
      <c r="L265" s="197" t="s">
        <v>17</v>
      </c>
    </row>
    <row r="266" spans="1:12" ht="15" customHeight="1" x14ac:dyDescent="0.2">
      <c r="A266" s="103" t="s">
        <v>140</v>
      </c>
      <c r="B266" s="198" t="s">
        <v>80</v>
      </c>
      <c r="C266" s="37" t="s">
        <v>81</v>
      </c>
      <c r="D266" s="103">
        <v>289</v>
      </c>
      <c r="E266" s="122">
        <v>132994</v>
      </c>
      <c r="F266" s="201">
        <v>0</v>
      </c>
      <c r="G266" s="200" t="s">
        <v>457</v>
      </c>
      <c r="H266" s="122">
        <v>132994</v>
      </c>
      <c r="I266" s="201">
        <v>0</v>
      </c>
      <c r="J266" s="201">
        <v>0</v>
      </c>
      <c r="K266" s="201">
        <v>0</v>
      </c>
      <c r="L266" s="122">
        <v>132994</v>
      </c>
    </row>
    <row r="267" spans="1:12" ht="15" customHeight="1" x14ac:dyDescent="0.2">
      <c r="A267" s="103" t="s">
        <v>140</v>
      </c>
      <c r="B267" s="198" t="s">
        <v>186</v>
      </c>
      <c r="C267" s="37" t="s">
        <v>187</v>
      </c>
      <c r="D267" s="103">
        <v>314</v>
      </c>
      <c r="E267" s="122">
        <v>800912</v>
      </c>
      <c r="F267" s="122">
        <v>792501</v>
      </c>
      <c r="G267" s="200" t="s">
        <v>457</v>
      </c>
      <c r="H267" s="122">
        <v>8411</v>
      </c>
      <c r="I267" s="201">
        <v>0</v>
      </c>
      <c r="J267" s="201">
        <v>0</v>
      </c>
      <c r="K267" s="201">
        <v>0</v>
      </c>
      <c r="L267" s="122">
        <v>8411</v>
      </c>
    </row>
    <row r="268" spans="1:12" ht="15" customHeight="1" x14ac:dyDescent="0.2">
      <c r="A268" s="103" t="s">
        <v>140</v>
      </c>
      <c r="B268" s="198" t="s">
        <v>114</v>
      </c>
      <c r="C268" s="37" t="s">
        <v>115</v>
      </c>
      <c r="D268" s="103">
        <v>279</v>
      </c>
      <c r="E268" s="122">
        <v>135482</v>
      </c>
      <c r="F268" s="122">
        <v>112687</v>
      </c>
      <c r="G268" s="200" t="s">
        <v>457</v>
      </c>
      <c r="H268" s="122">
        <v>22795</v>
      </c>
      <c r="I268" s="201">
        <v>0</v>
      </c>
      <c r="J268" s="201">
        <v>0</v>
      </c>
      <c r="K268" s="201">
        <v>0</v>
      </c>
      <c r="L268" s="122">
        <v>22795</v>
      </c>
    </row>
    <row r="269" spans="1:12" ht="15" customHeight="1" x14ac:dyDescent="0.2">
      <c r="A269" s="202" t="s">
        <v>391</v>
      </c>
      <c r="B269" s="203" t="s">
        <v>464</v>
      </c>
      <c r="C269" s="203" t="s">
        <v>464</v>
      </c>
      <c r="D269" s="203" t="s">
        <v>464</v>
      </c>
      <c r="E269" s="117">
        <f>SUBTOTAL(109,local200102[Program
Costs])</f>
        <v>1069388</v>
      </c>
      <c r="F269" s="117">
        <f>SUBTOTAL(109,local200102[Less: Net 
Payments
 and Offsets 1])</f>
        <v>905188</v>
      </c>
      <c r="G269" s="205" t="s">
        <v>464</v>
      </c>
      <c r="H269" s="117">
        <f>SUBTOTAL(109,local200102[Accounts Payable
Balance])</f>
        <v>164200</v>
      </c>
      <c r="I269" s="118">
        <f>SUBTOTAL(109,local200102[Established
Accounts Receivable])</f>
        <v>0</v>
      </c>
      <c r="J269" s="118">
        <f>SUBTOTAL(109,local200102[Less: 
Recovered 
Amount])</f>
        <v>0</v>
      </c>
      <c r="K269" s="118">
        <f>SUBTOTAL(109,local200102[Accounts Receivable
Balance])</f>
        <v>0</v>
      </c>
      <c r="L269" s="117">
        <f>SUBTOTAL(109,local200102[Net
Balance])</f>
        <v>164200</v>
      </c>
    </row>
    <row r="270" spans="1:12" ht="15.75" customHeight="1" x14ac:dyDescent="0.2">
      <c r="A270" s="169" t="s">
        <v>463</v>
      </c>
      <c r="B270" s="198"/>
      <c r="C270" s="37"/>
      <c r="D270" s="103"/>
      <c r="E270" s="122"/>
      <c r="F270" s="122"/>
      <c r="G270" s="122"/>
      <c r="H270" s="122"/>
      <c r="I270" s="122"/>
      <c r="J270" s="222"/>
      <c r="K270" s="122"/>
      <c r="L270" s="122"/>
    </row>
    <row r="271" spans="1:12" ht="50.1" customHeight="1" x14ac:dyDescent="0.2">
      <c r="A271" s="40" t="s">
        <v>1</v>
      </c>
      <c r="B271" s="40" t="s">
        <v>15</v>
      </c>
      <c r="C271" s="40" t="s">
        <v>16</v>
      </c>
      <c r="D271" s="193" t="s">
        <v>454</v>
      </c>
      <c r="E271" s="194" t="s">
        <v>3</v>
      </c>
      <c r="F271" s="40" t="s">
        <v>587</v>
      </c>
      <c r="G271" s="196" t="s">
        <v>462</v>
      </c>
      <c r="H271" s="197" t="s">
        <v>461</v>
      </c>
      <c r="I271" s="197" t="s">
        <v>460</v>
      </c>
      <c r="J271" s="197" t="s">
        <v>459</v>
      </c>
      <c r="K271" s="197" t="s">
        <v>458</v>
      </c>
      <c r="L271" s="197" t="s">
        <v>17</v>
      </c>
    </row>
    <row r="272" spans="1:12" ht="15" customHeight="1" x14ac:dyDescent="0.2">
      <c r="A272" s="103" t="s">
        <v>141</v>
      </c>
      <c r="B272" s="198" t="s">
        <v>86</v>
      </c>
      <c r="C272" s="37" t="s">
        <v>87</v>
      </c>
      <c r="D272" s="103">
        <v>213</v>
      </c>
      <c r="E272" s="122">
        <v>14577947</v>
      </c>
      <c r="F272" s="122">
        <v>14577947</v>
      </c>
      <c r="G272" s="200" t="s">
        <v>457</v>
      </c>
      <c r="H272" s="201">
        <v>0</v>
      </c>
      <c r="I272" s="122">
        <v>25647</v>
      </c>
      <c r="J272" s="122">
        <v>18475</v>
      </c>
      <c r="K272" s="122">
        <v>7172</v>
      </c>
      <c r="L272" s="122">
        <v>-7172</v>
      </c>
    </row>
    <row r="273" spans="1:12" ht="15" customHeight="1" x14ac:dyDescent="0.2">
      <c r="A273" s="103" t="s">
        <v>141</v>
      </c>
      <c r="B273" s="198" t="s">
        <v>80</v>
      </c>
      <c r="C273" s="37" t="s">
        <v>81</v>
      </c>
      <c r="D273" s="103">
        <v>289</v>
      </c>
      <c r="E273" s="122">
        <v>116534</v>
      </c>
      <c r="F273" s="201">
        <v>0</v>
      </c>
      <c r="G273" s="200" t="s">
        <v>457</v>
      </c>
      <c r="H273" s="122">
        <v>116534</v>
      </c>
      <c r="I273" s="201">
        <v>0</v>
      </c>
      <c r="J273" s="201">
        <v>0</v>
      </c>
      <c r="K273" s="201">
        <v>0</v>
      </c>
      <c r="L273" s="122">
        <v>116534</v>
      </c>
    </row>
    <row r="274" spans="1:12" ht="15" customHeight="1" x14ac:dyDescent="0.2">
      <c r="A274" s="103" t="s">
        <v>141</v>
      </c>
      <c r="B274" s="198" t="s">
        <v>142</v>
      </c>
      <c r="C274" s="37" t="s">
        <v>143</v>
      </c>
      <c r="D274" s="103">
        <v>161</v>
      </c>
      <c r="E274" s="122">
        <v>6083222</v>
      </c>
      <c r="F274" s="122">
        <v>6083222</v>
      </c>
      <c r="G274" s="200" t="s">
        <v>457</v>
      </c>
      <c r="H274" s="201">
        <v>0</v>
      </c>
      <c r="I274" s="122">
        <v>214181</v>
      </c>
      <c r="J274" s="122">
        <v>212019</v>
      </c>
      <c r="K274" s="122">
        <v>2162</v>
      </c>
      <c r="L274" s="122">
        <v>-2162</v>
      </c>
    </row>
    <row r="275" spans="1:12" ht="15" customHeight="1" x14ac:dyDescent="0.2">
      <c r="A275" s="103" t="s">
        <v>141</v>
      </c>
      <c r="B275" s="198" t="s">
        <v>114</v>
      </c>
      <c r="C275" s="37" t="s">
        <v>115</v>
      </c>
      <c r="D275" s="103">
        <v>279</v>
      </c>
      <c r="E275" s="122">
        <v>73775</v>
      </c>
      <c r="F275" s="122">
        <v>62375</v>
      </c>
      <c r="G275" s="200" t="s">
        <v>457</v>
      </c>
      <c r="H275" s="122">
        <v>11400</v>
      </c>
      <c r="I275" s="201">
        <v>0</v>
      </c>
      <c r="J275" s="201">
        <v>0</v>
      </c>
      <c r="K275" s="201">
        <v>0</v>
      </c>
      <c r="L275" s="122">
        <v>11400</v>
      </c>
    </row>
    <row r="276" spans="1:12" ht="15" customHeight="1" x14ac:dyDescent="0.2">
      <c r="A276" s="202" t="s">
        <v>392</v>
      </c>
      <c r="B276" s="203" t="s">
        <v>464</v>
      </c>
      <c r="C276" s="203" t="s">
        <v>464</v>
      </c>
      <c r="D276" s="203" t="s">
        <v>464</v>
      </c>
      <c r="E276" s="117">
        <f>SUBTOTAL(109,local200001[Program
Costs])</f>
        <v>20851478</v>
      </c>
      <c r="F276" s="204">
        <f>SUBTOTAL(109,local200001[Less: Net 
Payments
 and Offsets 1])</f>
        <v>20723544</v>
      </c>
      <c r="G276" s="203" t="s">
        <v>464</v>
      </c>
      <c r="H276" s="117">
        <f>SUBTOTAL(109,local200001[Accounts Payable
Balance])</f>
        <v>127934</v>
      </c>
      <c r="I276" s="204">
        <f>SUBTOTAL(109,local200001[Established
Accounts Receivable])</f>
        <v>239828</v>
      </c>
      <c r="J276" s="204">
        <f>SUBTOTAL(109,local200001[Less: 
Recovered 
Amount])</f>
        <v>230494</v>
      </c>
      <c r="K276" s="204">
        <f>SUBTOTAL(109,local200001[Accounts Receivable
Balance])</f>
        <v>9334</v>
      </c>
      <c r="L276" s="117">
        <f>SUBTOTAL(109,local200001[Net
Balance])</f>
        <v>118600</v>
      </c>
    </row>
    <row r="277" spans="1:12" x14ac:dyDescent="0.2">
      <c r="A277" s="169" t="s">
        <v>463</v>
      </c>
      <c r="B277" s="198"/>
      <c r="C277" s="37"/>
      <c r="D277" s="103"/>
      <c r="E277" s="122"/>
      <c r="F277" s="122"/>
      <c r="G277" s="122"/>
      <c r="H277" s="122"/>
      <c r="I277" s="122"/>
      <c r="J277" s="122"/>
      <c r="K277" s="122"/>
      <c r="L277" s="122"/>
    </row>
    <row r="278" spans="1:12" ht="50.1" customHeight="1" x14ac:dyDescent="0.2">
      <c r="A278" s="40" t="s">
        <v>1</v>
      </c>
      <c r="B278" s="40" t="s">
        <v>15</v>
      </c>
      <c r="C278" s="40" t="s">
        <v>16</v>
      </c>
      <c r="D278" s="193" t="s">
        <v>454</v>
      </c>
      <c r="E278" s="194" t="s">
        <v>3</v>
      </c>
      <c r="F278" s="40" t="s">
        <v>587</v>
      </c>
      <c r="G278" s="196" t="s">
        <v>462</v>
      </c>
      <c r="H278" s="197" t="s">
        <v>461</v>
      </c>
      <c r="I278" s="197" t="s">
        <v>460</v>
      </c>
      <c r="J278" s="197" t="s">
        <v>459</v>
      </c>
      <c r="K278" s="197" t="s">
        <v>458</v>
      </c>
      <c r="L278" s="197" t="s">
        <v>17</v>
      </c>
    </row>
    <row r="279" spans="1:12" ht="15" customHeight="1" x14ac:dyDescent="0.2">
      <c r="A279" s="103" t="s">
        <v>144</v>
      </c>
      <c r="B279" s="198" t="s">
        <v>80</v>
      </c>
      <c r="C279" s="37" t="s">
        <v>81</v>
      </c>
      <c r="D279" s="103">
        <v>289</v>
      </c>
      <c r="E279" s="122">
        <v>112301</v>
      </c>
      <c r="F279" s="201">
        <v>0</v>
      </c>
      <c r="G279" s="200" t="s">
        <v>457</v>
      </c>
      <c r="H279" s="122">
        <v>112301</v>
      </c>
      <c r="I279" s="201">
        <v>0</v>
      </c>
      <c r="J279" s="201">
        <v>0</v>
      </c>
      <c r="K279" s="201">
        <v>0</v>
      </c>
      <c r="L279" s="122">
        <v>112301</v>
      </c>
    </row>
    <row r="280" spans="1:12" ht="15" customHeight="1" x14ac:dyDescent="0.2">
      <c r="A280" s="202" t="s">
        <v>393</v>
      </c>
      <c r="B280" s="203" t="s">
        <v>464</v>
      </c>
      <c r="C280" s="203" t="s">
        <v>464</v>
      </c>
      <c r="D280" s="203" t="s">
        <v>464</v>
      </c>
      <c r="E280" s="117">
        <f>SUBTOTAL(109,local199900[Program
Costs])</f>
        <v>112301</v>
      </c>
      <c r="F280" s="118">
        <f>SUBTOTAL(109,local199900[Less: Net 
Payments
 and Offsets 1])</f>
        <v>0</v>
      </c>
      <c r="G280" s="203" t="s">
        <v>464</v>
      </c>
      <c r="H280" s="117">
        <f>SUBTOTAL(109,local199900[Accounts Payable
Balance])</f>
        <v>112301</v>
      </c>
      <c r="I280" s="118">
        <f>SUBTOTAL(109,local199900[Established
Accounts Receivable])</f>
        <v>0</v>
      </c>
      <c r="J280" s="118">
        <f>SUBTOTAL(109,local199900[Less: 
Recovered 
Amount])</f>
        <v>0</v>
      </c>
      <c r="K280" s="118">
        <f>SUBTOTAL(109,local199900[Accounts Receivable
Balance])</f>
        <v>0</v>
      </c>
      <c r="L280" s="117">
        <f>SUBTOTAL(109,local199900[Net
Balance])</f>
        <v>112301</v>
      </c>
    </row>
    <row r="281" spans="1:12" x14ac:dyDescent="0.2">
      <c r="A281" s="169" t="s">
        <v>463</v>
      </c>
      <c r="B281" s="198"/>
      <c r="C281" s="37"/>
      <c r="D281" s="103"/>
      <c r="E281" s="122"/>
      <c r="F281" s="122"/>
      <c r="G281" s="122"/>
      <c r="H281" s="122"/>
      <c r="I281" s="122"/>
      <c r="J281" s="122"/>
      <c r="K281" s="122"/>
      <c r="L281" s="122"/>
    </row>
    <row r="282" spans="1:12" ht="50.1" customHeight="1" x14ac:dyDescent="0.2">
      <c r="A282" s="40" t="s">
        <v>1</v>
      </c>
      <c r="B282" s="40" t="s">
        <v>15</v>
      </c>
      <c r="C282" s="40" t="s">
        <v>16</v>
      </c>
      <c r="D282" s="193" t="s">
        <v>454</v>
      </c>
      <c r="E282" s="194" t="s">
        <v>3</v>
      </c>
      <c r="F282" s="40" t="s">
        <v>587</v>
      </c>
      <c r="G282" s="196" t="s">
        <v>462</v>
      </c>
      <c r="H282" s="197" t="s">
        <v>461</v>
      </c>
      <c r="I282" s="197" t="s">
        <v>460</v>
      </c>
      <c r="J282" s="197" t="s">
        <v>459</v>
      </c>
      <c r="K282" s="197" t="s">
        <v>458</v>
      </c>
      <c r="L282" s="197" t="s">
        <v>17</v>
      </c>
    </row>
    <row r="283" spans="1:12" ht="15" customHeight="1" x14ac:dyDescent="0.2">
      <c r="A283" s="103" t="s">
        <v>145</v>
      </c>
      <c r="B283" s="198" t="s">
        <v>86</v>
      </c>
      <c r="C283" s="37" t="s">
        <v>87</v>
      </c>
      <c r="D283" s="103">
        <v>213</v>
      </c>
      <c r="E283" s="122">
        <v>13692831</v>
      </c>
      <c r="F283" s="122">
        <v>13692379</v>
      </c>
      <c r="G283" s="200" t="s">
        <v>457</v>
      </c>
      <c r="H283" s="122">
        <v>452</v>
      </c>
      <c r="I283" s="122">
        <v>3459493</v>
      </c>
      <c r="J283" s="122">
        <v>3459493</v>
      </c>
      <c r="K283" s="201">
        <v>0</v>
      </c>
      <c r="L283" s="122">
        <v>452</v>
      </c>
    </row>
    <row r="284" spans="1:12" ht="15" customHeight="1" x14ac:dyDescent="0.2">
      <c r="A284" s="103" t="s">
        <v>145</v>
      </c>
      <c r="B284" s="198" t="s">
        <v>80</v>
      </c>
      <c r="C284" s="37" t="s">
        <v>81</v>
      </c>
      <c r="D284" s="103">
        <v>289</v>
      </c>
      <c r="E284" s="122">
        <v>32985</v>
      </c>
      <c r="F284" s="201">
        <v>0</v>
      </c>
      <c r="G284" s="200" t="s">
        <v>457</v>
      </c>
      <c r="H284" s="122">
        <v>32985</v>
      </c>
      <c r="I284" s="201">
        <v>0</v>
      </c>
      <c r="J284" s="201">
        <v>0</v>
      </c>
      <c r="K284" s="201">
        <v>0</v>
      </c>
      <c r="L284" s="122">
        <v>32985</v>
      </c>
    </row>
    <row r="285" spans="1:12" ht="15" customHeight="1" x14ac:dyDescent="0.2">
      <c r="A285" s="103" t="s">
        <v>145</v>
      </c>
      <c r="B285" s="198" t="s">
        <v>108</v>
      </c>
      <c r="C285" s="37" t="s">
        <v>109</v>
      </c>
      <c r="D285" s="103">
        <v>124</v>
      </c>
      <c r="E285" s="122">
        <v>811698</v>
      </c>
      <c r="F285" s="122">
        <v>811698</v>
      </c>
      <c r="G285" s="200" t="s">
        <v>457</v>
      </c>
      <c r="H285" s="201">
        <v>0</v>
      </c>
      <c r="I285" s="122">
        <v>1488386</v>
      </c>
      <c r="J285" s="122">
        <v>1402610</v>
      </c>
      <c r="K285" s="122">
        <v>85776</v>
      </c>
      <c r="L285" s="122">
        <v>-85776</v>
      </c>
    </row>
    <row r="286" spans="1:12" ht="15" customHeight="1" x14ac:dyDescent="0.2">
      <c r="A286" s="103" t="s">
        <v>145</v>
      </c>
      <c r="B286" s="198" t="s">
        <v>146</v>
      </c>
      <c r="C286" s="37" t="s">
        <v>147</v>
      </c>
      <c r="D286" s="103">
        <v>180</v>
      </c>
      <c r="E286" s="122">
        <v>105659</v>
      </c>
      <c r="F286" s="122">
        <v>105659</v>
      </c>
      <c r="G286" s="200" t="s">
        <v>457</v>
      </c>
      <c r="H286" s="201">
        <v>0</v>
      </c>
      <c r="I286" s="122">
        <v>14707</v>
      </c>
      <c r="J286" s="122">
        <v>13726</v>
      </c>
      <c r="K286" s="122">
        <v>981</v>
      </c>
      <c r="L286" s="122">
        <v>-981</v>
      </c>
    </row>
    <row r="287" spans="1:12" ht="15" customHeight="1" x14ac:dyDescent="0.2">
      <c r="A287" s="202" t="s">
        <v>394</v>
      </c>
      <c r="B287" s="203" t="s">
        <v>464</v>
      </c>
      <c r="C287" s="203" t="s">
        <v>464</v>
      </c>
      <c r="D287" s="203" t="s">
        <v>464</v>
      </c>
      <c r="E287" s="117">
        <f>SUBTOTAL(109,local199899[Program
Costs])</f>
        <v>14643173</v>
      </c>
      <c r="F287" s="117">
        <f>SUBTOTAL(109,local199899[Less: Net 
Payments
 and Offsets 1])</f>
        <v>14609736</v>
      </c>
      <c r="G287" s="203" t="s">
        <v>464</v>
      </c>
      <c r="H287" s="117">
        <f>SUBTOTAL(109,local199899[Accounts Payable
Balance])</f>
        <v>33437</v>
      </c>
      <c r="I287" s="117">
        <f>SUBTOTAL(109,local199899[Established
Accounts Receivable])</f>
        <v>4962586</v>
      </c>
      <c r="J287" s="117">
        <f>SUBTOTAL(109,local199899[Less: 
Recovered 
Amount])</f>
        <v>4875829</v>
      </c>
      <c r="K287" s="117">
        <f>SUBTOTAL(109,local199899[Accounts Receivable
Balance])</f>
        <v>86757</v>
      </c>
      <c r="L287" s="117">
        <f>SUBTOTAL(109,local199899[Net
Balance])</f>
        <v>-53320</v>
      </c>
    </row>
    <row r="288" spans="1:12" x14ac:dyDescent="0.2">
      <c r="A288" s="169" t="s">
        <v>463</v>
      </c>
      <c r="B288" s="198"/>
      <c r="C288" s="37"/>
      <c r="D288" s="103"/>
      <c r="E288" s="122"/>
      <c r="F288" s="122"/>
      <c r="G288" s="122"/>
      <c r="H288" s="122"/>
      <c r="I288" s="122"/>
      <c r="J288" s="122"/>
      <c r="K288" s="122"/>
      <c r="L288" s="122"/>
    </row>
    <row r="289" spans="1:12" ht="50.1" customHeight="1" x14ac:dyDescent="0.2">
      <c r="A289" s="40" t="s">
        <v>1</v>
      </c>
      <c r="B289" s="40" t="s">
        <v>15</v>
      </c>
      <c r="C289" s="40" t="s">
        <v>16</v>
      </c>
      <c r="D289" s="193" t="s">
        <v>454</v>
      </c>
      <c r="E289" s="194" t="s">
        <v>3</v>
      </c>
      <c r="F289" s="40" t="s">
        <v>587</v>
      </c>
      <c r="G289" s="196" t="s">
        <v>462</v>
      </c>
      <c r="H289" s="197" t="s">
        <v>461</v>
      </c>
      <c r="I289" s="197" t="s">
        <v>460</v>
      </c>
      <c r="J289" s="197" t="s">
        <v>459</v>
      </c>
      <c r="K289" s="197" t="s">
        <v>458</v>
      </c>
      <c r="L289" s="197" t="s">
        <v>17</v>
      </c>
    </row>
    <row r="290" spans="1:12" ht="15" customHeight="1" x14ac:dyDescent="0.2">
      <c r="A290" s="103" t="s">
        <v>148</v>
      </c>
      <c r="B290" s="198" t="s">
        <v>86</v>
      </c>
      <c r="C290" s="37" t="s">
        <v>87</v>
      </c>
      <c r="D290" s="103">
        <v>213</v>
      </c>
      <c r="E290" s="122">
        <v>2654301</v>
      </c>
      <c r="F290" s="122">
        <v>2613916</v>
      </c>
      <c r="G290" s="200" t="s">
        <v>457</v>
      </c>
      <c r="H290" s="122">
        <v>40385</v>
      </c>
      <c r="I290" s="122">
        <v>1280135</v>
      </c>
      <c r="J290" s="122">
        <v>1280135</v>
      </c>
      <c r="K290" s="201">
        <v>0</v>
      </c>
      <c r="L290" s="122">
        <v>40385</v>
      </c>
    </row>
    <row r="291" spans="1:12" ht="15" customHeight="1" x14ac:dyDescent="0.2">
      <c r="A291" s="103" t="s">
        <v>148</v>
      </c>
      <c r="B291" s="198" t="s">
        <v>149</v>
      </c>
      <c r="C291" s="37" t="s">
        <v>72</v>
      </c>
      <c r="D291" s="103">
        <v>49</v>
      </c>
      <c r="E291" s="122">
        <v>5316132</v>
      </c>
      <c r="F291" s="122">
        <v>5316132</v>
      </c>
      <c r="G291" s="200" t="s">
        <v>457</v>
      </c>
      <c r="H291" s="201">
        <v>0</v>
      </c>
      <c r="I291" s="122">
        <v>670665</v>
      </c>
      <c r="J291" s="122">
        <v>669938</v>
      </c>
      <c r="K291" s="122">
        <v>727</v>
      </c>
      <c r="L291" s="122">
        <v>-727</v>
      </c>
    </row>
    <row r="292" spans="1:12" ht="15" customHeight="1" x14ac:dyDescent="0.2">
      <c r="A292" s="103" t="s">
        <v>148</v>
      </c>
      <c r="B292" s="198" t="s">
        <v>150</v>
      </c>
      <c r="C292" s="37" t="s">
        <v>151</v>
      </c>
      <c r="D292" s="103">
        <v>55</v>
      </c>
      <c r="E292" s="122">
        <v>1323819</v>
      </c>
      <c r="F292" s="122">
        <v>1323819</v>
      </c>
      <c r="G292" s="200" t="s">
        <v>457</v>
      </c>
      <c r="H292" s="201">
        <v>0</v>
      </c>
      <c r="I292" s="122">
        <v>647104</v>
      </c>
      <c r="J292" s="122">
        <v>481403</v>
      </c>
      <c r="K292" s="122">
        <v>165701</v>
      </c>
      <c r="L292" s="122">
        <v>-165701</v>
      </c>
    </row>
    <row r="293" spans="1:12" ht="15" customHeight="1" x14ac:dyDescent="0.2">
      <c r="A293" s="202" t="s">
        <v>395</v>
      </c>
      <c r="B293" s="203" t="s">
        <v>464</v>
      </c>
      <c r="C293" s="203" t="s">
        <v>464</v>
      </c>
      <c r="D293" s="203" t="s">
        <v>464</v>
      </c>
      <c r="E293" s="117">
        <f>SUBTOTAL(109,local199798[Program
Costs])</f>
        <v>9294252</v>
      </c>
      <c r="F293" s="117">
        <f>SUBTOTAL(109,local199798[Less: Net 
Payments
 and Offsets 1])</f>
        <v>9253867</v>
      </c>
      <c r="G293" s="203" t="s">
        <v>464</v>
      </c>
      <c r="H293" s="204">
        <f>SUBTOTAL(109,local199798[Accounts Payable
Balance])</f>
        <v>40385</v>
      </c>
      <c r="I293" s="117">
        <f>SUBTOTAL(109,local199798[Established
Accounts Receivable])</f>
        <v>2597904</v>
      </c>
      <c r="J293" s="117">
        <f>SUBTOTAL(109,local199798[Less: 
Recovered 
Amount])</f>
        <v>2431476</v>
      </c>
      <c r="K293" s="117">
        <f>SUBTOTAL(109,local199798[Accounts Receivable
Balance])</f>
        <v>166428</v>
      </c>
      <c r="L293" s="117">
        <f>SUBTOTAL(109,local199798[Net
Balance])</f>
        <v>-126043</v>
      </c>
    </row>
    <row r="294" spans="1:12" x14ac:dyDescent="0.2">
      <c r="A294" s="169" t="s">
        <v>463</v>
      </c>
      <c r="B294" s="198"/>
      <c r="C294" s="37"/>
      <c r="D294" s="103"/>
      <c r="E294" s="122"/>
      <c r="F294" s="122"/>
      <c r="G294" s="122"/>
      <c r="H294" s="122"/>
      <c r="I294" s="122"/>
      <c r="J294" s="122"/>
      <c r="K294" s="122"/>
      <c r="L294" s="122"/>
    </row>
    <row r="295" spans="1:12" ht="50.1" customHeight="1" x14ac:dyDescent="0.2">
      <c r="A295" s="40" t="s">
        <v>1</v>
      </c>
      <c r="B295" s="40" t="s">
        <v>15</v>
      </c>
      <c r="C295" s="40" t="s">
        <v>16</v>
      </c>
      <c r="D295" s="193" t="s">
        <v>454</v>
      </c>
      <c r="E295" s="194" t="s">
        <v>3</v>
      </c>
      <c r="F295" s="40" t="s">
        <v>587</v>
      </c>
      <c r="G295" s="196" t="s">
        <v>462</v>
      </c>
      <c r="H295" s="197" t="s">
        <v>461</v>
      </c>
      <c r="I295" s="197" t="s">
        <v>460</v>
      </c>
      <c r="J295" s="197" t="s">
        <v>459</v>
      </c>
      <c r="K295" s="197" t="s">
        <v>458</v>
      </c>
      <c r="L295" s="197" t="s">
        <v>17</v>
      </c>
    </row>
    <row r="296" spans="1:12" ht="15" customHeight="1" x14ac:dyDescent="0.2">
      <c r="A296" s="103" t="s">
        <v>152</v>
      </c>
      <c r="B296" s="198" t="s">
        <v>82</v>
      </c>
      <c r="C296" s="37" t="s">
        <v>83</v>
      </c>
      <c r="D296" s="103">
        <v>41</v>
      </c>
      <c r="E296" s="122">
        <v>3841394</v>
      </c>
      <c r="F296" s="122">
        <v>3841394</v>
      </c>
      <c r="G296" s="200" t="s">
        <v>457</v>
      </c>
      <c r="H296" s="201">
        <v>0</v>
      </c>
      <c r="I296" s="122">
        <v>230325</v>
      </c>
      <c r="J296" s="122">
        <v>229212</v>
      </c>
      <c r="K296" s="122">
        <v>1113</v>
      </c>
      <c r="L296" s="122">
        <v>-1113</v>
      </c>
    </row>
    <row r="297" spans="1:12" ht="15" customHeight="1" x14ac:dyDescent="0.2">
      <c r="A297" s="103" t="s">
        <v>152</v>
      </c>
      <c r="B297" s="198" t="s">
        <v>149</v>
      </c>
      <c r="C297" s="37" t="s">
        <v>72</v>
      </c>
      <c r="D297" s="103">
        <v>49</v>
      </c>
      <c r="E297" s="122">
        <v>4707412</v>
      </c>
      <c r="F297" s="122">
        <v>4707412</v>
      </c>
      <c r="G297" s="200" t="s">
        <v>457</v>
      </c>
      <c r="H297" s="201">
        <v>0</v>
      </c>
      <c r="I297" s="122">
        <v>183902</v>
      </c>
      <c r="J297" s="122">
        <v>183169</v>
      </c>
      <c r="K297" s="122">
        <v>733</v>
      </c>
      <c r="L297" s="122">
        <v>-733</v>
      </c>
    </row>
    <row r="298" spans="1:12" ht="15" customHeight="1" x14ac:dyDescent="0.2">
      <c r="A298" s="202" t="s">
        <v>396</v>
      </c>
      <c r="B298" s="203" t="s">
        <v>464</v>
      </c>
      <c r="C298" s="203" t="s">
        <v>464</v>
      </c>
      <c r="D298" s="203" t="s">
        <v>464</v>
      </c>
      <c r="E298" s="117">
        <f>SUBTOTAL(109,local199697[Program
Costs])</f>
        <v>8548806</v>
      </c>
      <c r="F298" s="117">
        <f>SUBTOTAL(109,local199697[Less: Net 
Payments
 and Offsets 1])</f>
        <v>8548806</v>
      </c>
      <c r="G298" s="203" t="s">
        <v>464</v>
      </c>
      <c r="H298" s="204">
        <f>SUBTOTAL(109,local199697[Accounts Payable
Balance])</f>
        <v>0</v>
      </c>
      <c r="I298" s="117">
        <f>SUBTOTAL(109,local199697[Established
Accounts Receivable])</f>
        <v>414227</v>
      </c>
      <c r="J298" s="117">
        <f>SUBTOTAL(109,local199697[Less: 
Recovered 
Amount])</f>
        <v>412381</v>
      </c>
      <c r="K298" s="117">
        <f>SUBTOTAL(109,local199697[Accounts Receivable
Balance])</f>
        <v>1846</v>
      </c>
      <c r="L298" s="117">
        <f>SUBTOTAL(109,local199697[Net
Balance])</f>
        <v>-1846</v>
      </c>
    </row>
    <row r="299" spans="1:12" x14ac:dyDescent="0.2">
      <c r="A299" s="169" t="s">
        <v>463</v>
      </c>
      <c r="B299" s="198"/>
      <c r="C299" s="37"/>
      <c r="D299" s="103"/>
      <c r="E299" s="122"/>
      <c r="F299" s="122"/>
      <c r="G299" s="122"/>
      <c r="H299" s="122"/>
      <c r="I299" s="122"/>
      <c r="J299" s="122"/>
      <c r="K299" s="122"/>
      <c r="L299" s="122"/>
    </row>
    <row r="300" spans="1:12" ht="50.1" customHeight="1" x14ac:dyDescent="0.2">
      <c r="A300" s="40" t="s">
        <v>1</v>
      </c>
      <c r="B300" s="40" t="s">
        <v>15</v>
      </c>
      <c r="C300" s="40" t="s">
        <v>16</v>
      </c>
      <c r="D300" s="193" t="s">
        <v>454</v>
      </c>
      <c r="E300" s="194" t="s">
        <v>3</v>
      </c>
      <c r="F300" s="40" t="s">
        <v>587</v>
      </c>
      <c r="G300" s="196" t="s">
        <v>462</v>
      </c>
      <c r="H300" s="197" t="s">
        <v>461</v>
      </c>
      <c r="I300" s="197" t="s">
        <v>460</v>
      </c>
      <c r="J300" s="197" t="s">
        <v>459</v>
      </c>
      <c r="K300" s="197" t="s">
        <v>458</v>
      </c>
      <c r="L300" s="197" t="s">
        <v>17</v>
      </c>
    </row>
    <row r="301" spans="1:12" ht="15" customHeight="1" x14ac:dyDescent="0.2">
      <c r="A301" s="103" t="s">
        <v>153</v>
      </c>
      <c r="B301" s="198" t="s">
        <v>82</v>
      </c>
      <c r="C301" s="37" t="s">
        <v>83</v>
      </c>
      <c r="D301" s="103">
        <v>41</v>
      </c>
      <c r="E301" s="122">
        <v>3560480</v>
      </c>
      <c r="F301" s="122">
        <v>3560480</v>
      </c>
      <c r="G301" s="200" t="s">
        <v>457</v>
      </c>
      <c r="H301" s="201">
        <v>0</v>
      </c>
      <c r="I301" s="122">
        <v>319940</v>
      </c>
      <c r="J301" s="122">
        <v>319763</v>
      </c>
      <c r="K301" s="122">
        <v>177</v>
      </c>
      <c r="L301" s="122">
        <v>-177</v>
      </c>
    </row>
    <row r="302" spans="1:12" ht="15" customHeight="1" x14ac:dyDescent="0.2">
      <c r="A302" s="202" t="s">
        <v>397</v>
      </c>
      <c r="B302" s="205" t="s">
        <v>464</v>
      </c>
      <c r="C302" s="205" t="s">
        <v>464</v>
      </c>
      <c r="D302" s="205" t="s">
        <v>464</v>
      </c>
      <c r="E302" s="117">
        <f>SUBTOTAL(109,local199596[Program
Costs])</f>
        <v>3560480</v>
      </c>
      <c r="F302" s="117">
        <f>SUBTOTAL(109,local199596[Less: Net 
Payments
 and Offsets 1])</f>
        <v>3560480</v>
      </c>
      <c r="G302" s="205" t="s">
        <v>464</v>
      </c>
      <c r="H302" s="204">
        <f>SUBTOTAL(109,local199596[Accounts Payable
Balance])</f>
        <v>0</v>
      </c>
      <c r="I302" s="117">
        <f>SUBTOTAL(109,local199596[Established
Accounts Receivable])</f>
        <v>319940</v>
      </c>
      <c r="J302" s="117">
        <f>SUBTOTAL(109,local199596[Less: 
Recovered 
Amount])</f>
        <v>319763</v>
      </c>
      <c r="K302" s="117">
        <f>SUBTOTAL(109,local199596[Accounts Receivable
Balance])</f>
        <v>177</v>
      </c>
      <c r="L302" s="117">
        <f>SUBTOTAL(109,local199596[Net
Balance])</f>
        <v>-177</v>
      </c>
    </row>
    <row r="303" spans="1:12" x14ac:dyDescent="0.2">
      <c r="A303" s="169" t="s">
        <v>463</v>
      </c>
      <c r="B303" s="198"/>
      <c r="C303" s="37"/>
      <c r="D303" s="103"/>
      <c r="E303" s="122"/>
      <c r="F303" s="122"/>
      <c r="G303" s="122"/>
      <c r="H303" s="122"/>
      <c r="I303" s="122"/>
      <c r="J303" s="122"/>
      <c r="K303" s="122"/>
      <c r="L303" s="122"/>
    </row>
    <row r="304" spans="1:12" ht="50.1" customHeight="1" x14ac:dyDescent="0.2">
      <c r="A304" s="40" t="s">
        <v>1</v>
      </c>
      <c r="B304" s="40" t="s">
        <v>15</v>
      </c>
      <c r="C304" s="40" t="s">
        <v>16</v>
      </c>
      <c r="D304" s="193" t="s">
        <v>454</v>
      </c>
      <c r="E304" s="194" t="s">
        <v>3</v>
      </c>
      <c r="F304" s="40" t="s">
        <v>587</v>
      </c>
      <c r="G304" s="196" t="s">
        <v>462</v>
      </c>
      <c r="H304" s="197" t="s">
        <v>461</v>
      </c>
      <c r="I304" s="197" t="s">
        <v>460</v>
      </c>
      <c r="J304" s="197" t="s">
        <v>459</v>
      </c>
      <c r="K304" s="197" t="s">
        <v>458</v>
      </c>
      <c r="L304" s="197" t="s">
        <v>17</v>
      </c>
    </row>
    <row r="305" spans="1:12" ht="15" customHeight="1" x14ac:dyDescent="0.2">
      <c r="A305" s="103" t="s">
        <v>154</v>
      </c>
      <c r="B305" s="198" t="s">
        <v>82</v>
      </c>
      <c r="C305" s="37" t="s">
        <v>83</v>
      </c>
      <c r="D305" s="103">
        <v>41</v>
      </c>
      <c r="E305" s="122">
        <v>2968144</v>
      </c>
      <c r="F305" s="122">
        <v>2968144</v>
      </c>
      <c r="G305" s="200" t="s">
        <v>457</v>
      </c>
      <c r="H305" s="201">
        <v>0</v>
      </c>
      <c r="I305" s="122">
        <v>661263</v>
      </c>
      <c r="J305" s="122">
        <v>658009</v>
      </c>
      <c r="K305" s="122">
        <v>3254</v>
      </c>
      <c r="L305" s="122">
        <v>-3254</v>
      </c>
    </row>
    <row r="306" spans="1:12" ht="15" customHeight="1" x14ac:dyDescent="0.2">
      <c r="A306" s="103" t="s">
        <v>154</v>
      </c>
      <c r="B306" s="198" t="s">
        <v>149</v>
      </c>
      <c r="C306" s="37" t="s">
        <v>72</v>
      </c>
      <c r="D306" s="103">
        <v>49</v>
      </c>
      <c r="E306" s="122">
        <v>3690222</v>
      </c>
      <c r="F306" s="122">
        <v>3690222</v>
      </c>
      <c r="G306" s="200" t="s">
        <v>457</v>
      </c>
      <c r="H306" s="201">
        <v>0</v>
      </c>
      <c r="I306" s="122">
        <v>870559</v>
      </c>
      <c r="J306" s="122">
        <v>867771</v>
      </c>
      <c r="K306" s="122">
        <v>2788</v>
      </c>
      <c r="L306" s="122">
        <v>-2788</v>
      </c>
    </row>
    <row r="307" spans="1:12" ht="15" customHeight="1" x14ac:dyDescent="0.2">
      <c r="A307" s="206" t="s">
        <v>398</v>
      </c>
      <c r="B307" s="205" t="s">
        <v>464</v>
      </c>
      <c r="C307" s="205" t="s">
        <v>464</v>
      </c>
      <c r="D307" s="205" t="s">
        <v>464</v>
      </c>
      <c r="E307" s="117">
        <f>SUBTOTAL(109,local199293119[Program
Costs])</f>
        <v>6658366</v>
      </c>
      <c r="F307" s="117">
        <f>SUBTOTAL(109,local199293119[Less: Net 
Payments
 and Offsets 1])</f>
        <v>6658366</v>
      </c>
      <c r="G307" s="205" t="s">
        <v>464</v>
      </c>
      <c r="H307" s="204">
        <f>SUBTOTAL(109,local199293119[Accounts Payable
Balance])</f>
        <v>0</v>
      </c>
      <c r="I307" s="117">
        <f>SUBTOTAL(109,local199293119[Established
Accounts Receivable])</f>
        <v>1531822</v>
      </c>
      <c r="J307" s="204">
        <f>SUBTOTAL(109,local199293119[Less: 
Recovered 
Amount])</f>
        <v>1525780</v>
      </c>
      <c r="K307" s="117">
        <f>SUBTOTAL(109,local199293119[Accounts Receivable
Balance])</f>
        <v>6042</v>
      </c>
      <c r="L307" s="117">
        <f>SUBTOTAL(109,local199293119[Net
Balance])</f>
        <v>-6042</v>
      </c>
    </row>
    <row r="308" spans="1:12" x14ac:dyDescent="0.2">
      <c r="A308" s="169" t="s">
        <v>463</v>
      </c>
      <c r="B308" s="198"/>
      <c r="C308" s="37"/>
      <c r="D308" s="103"/>
      <c r="E308" s="122"/>
      <c r="F308" s="122"/>
      <c r="G308" s="122"/>
      <c r="H308" s="122"/>
      <c r="I308" s="122"/>
      <c r="J308" s="122"/>
      <c r="K308" s="122"/>
      <c r="L308" s="122"/>
    </row>
    <row r="309" spans="1:12" ht="50.1" customHeight="1" x14ac:dyDescent="0.2">
      <c r="A309" s="40" t="s">
        <v>1</v>
      </c>
      <c r="B309" s="40" t="s">
        <v>15</v>
      </c>
      <c r="C309" s="40" t="s">
        <v>16</v>
      </c>
      <c r="D309" s="193" t="s">
        <v>454</v>
      </c>
      <c r="E309" s="194" t="s">
        <v>3</v>
      </c>
      <c r="F309" s="40" t="s">
        <v>587</v>
      </c>
      <c r="G309" s="196" t="s">
        <v>462</v>
      </c>
      <c r="H309" s="197" t="s">
        <v>461</v>
      </c>
      <c r="I309" s="197" t="s">
        <v>460</v>
      </c>
      <c r="J309" s="197" t="s">
        <v>459</v>
      </c>
      <c r="K309" s="197" t="s">
        <v>458</v>
      </c>
      <c r="L309" s="197" t="s">
        <v>17</v>
      </c>
    </row>
    <row r="310" spans="1:12" ht="15" customHeight="1" x14ac:dyDescent="0.2">
      <c r="A310" s="103" t="s">
        <v>155</v>
      </c>
      <c r="B310" s="198" t="s">
        <v>82</v>
      </c>
      <c r="C310" s="37" t="s">
        <v>83</v>
      </c>
      <c r="D310" s="103">
        <v>41</v>
      </c>
      <c r="E310" s="122">
        <v>3097183</v>
      </c>
      <c r="F310" s="122">
        <v>3097183</v>
      </c>
      <c r="G310" s="200" t="s">
        <v>457</v>
      </c>
      <c r="H310" s="201">
        <v>0</v>
      </c>
      <c r="I310" s="122">
        <v>201105</v>
      </c>
      <c r="J310" s="122">
        <v>200520</v>
      </c>
      <c r="K310" s="122">
        <v>585</v>
      </c>
      <c r="L310" s="122">
        <v>-585</v>
      </c>
    </row>
    <row r="311" spans="1:12" ht="15" customHeight="1" x14ac:dyDescent="0.2">
      <c r="A311" s="202" t="s">
        <v>399</v>
      </c>
      <c r="B311" s="205" t="s">
        <v>464</v>
      </c>
      <c r="C311" s="205" t="s">
        <v>464</v>
      </c>
      <c r="D311" s="205" t="s">
        <v>464</v>
      </c>
      <c r="E311" s="117">
        <f>SUBTOTAL(109,local199495[Program
Costs])</f>
        <v>3097183</v>
      </c>
      <c r="F311" s="117">
        <f>SUBTOTAL(109,local199495[Less: Net 
Payments
 and Offsets 1])</f>
        <v>3097183</v>
      </c>
      <c r="G311" s="205" t="s">
        <v>464</v>
      </c>
      <c r="H311" s="204">
        <f>SUBTOTAL(109,local199495[Accounts Payable
Balance])</f>
        <v>0</v>
      </c>
      <c r="I311" s="117">
        <f>SUBTOTAL(109,local199495[Established
Accounts Receivable])</f>
        <v>201105</v>
      </c>
      <c r="J311" s="117">
        <f>SUBTOTAL(109,local199495[Less: 
Recovered 
Amount])</f>
        <v>200520</v>
      </c>
      <c r="K311" s="117">
        <f>SUBTOTAL(109,local199495[Accounts Receivable
Balance])</f>
        <v>585</v>
      </c>
      <c r="L311" s="117">
        <f>SUBTOTAL(109,local199495[Net
Balance])</f>
        <v>-585</v>
      </c>
    </row>
    <row r="312" spans="1:12" x14ac:dyDescent="0.2">
      <c r="A312" s="169" t="s">
        <v>463</v>
      </c>
      <c r="B312" s="198"/>
      <c r="C312" s="37"/>
      <c r="D312" s="103"/>
      <c r="E312" s="122"/>
      <c r="F312" s="122"/>
      <c r="G312" s="122"/>
      <c r="H312" s="122"/>
      <c r="I312" s="122"/>
      <c r="J312" s="122"/>
      <c r="K312" s="122"/>
      <c r="L312" s="122"/>
    </row>
    <row r="313" spans="1:12" ht="50.1" customHeight="1" x14ac:dyDescent="0.2">
      <c r="A313" s="40" t="s">
        <v>1</v>
      </c>
      <c r="B313" s="40" t="s">
        <v>15</v>
      </c>
      <c r="C313" s="40" t="s">
        <v>16</v>
      </c>
      <c r="D313" s="193" t="s">
        <v>454</v>
      </c>
      <c r="E313" s="194" t="s">
        <v>3</v>
      </c>
      <c r="F313" s="40" t="s">
        <v>587</v>
      </c>
      <c r="G313" s="196" t="s">
        <v>462</v>
      </c>
      <c r="H313" s="197" t="s">
        <v>461</v>
      </c>
      <c r="I313" s="197" t="s">
        <v>460</v>
      </c>
      <c r="J313" s="197" t="s">
        <v>459</v>
      </c>
      <c r="K313" s="197" t="s">
        <v>458</v>
      </c>
      <c r="L313" s="197" t="s">
        <v>17</v>
      </c>
    </row>
    <row r="314" spans="1:12" ht="15" customHeight="1" x14ac:dyDescent="0.2">
      <c r="A314" s="103" t="s">
        <v>156</v>
      </c>
      <c r="B314" s="198" t="s">
        <v>149</v>
      </c>
      <c r="C314" s="37" t="s">
        <v>72</v>
      </c>
      <c r="D314" s="103">
        <v>49</v>
      </c>
      <c r="E314" s="122">
        <v>4970992</v>
      </c>
      <c r="F314" s="122">
        <v>4970992</v>
      </c>
      <c r="G314" s="200" t="s">
        <v>457</v>
      </c>
      <c r="H314" s="201">
        <v>0</v>
      </c>
      <c r="I314" s="122">
        <v>713</v>
      </c>
      <c r="J314" s="201">
        <v>0</v>
      </c>
      <c r="K314" s="122">
        <v>713</v>
      </c>
      <c r="L314" s="122">
        <v>-713</v>
      </c>
    </row>
    <row r="315" spans="1:12" ht="15" customHeight="1" x14ac:dyDescent="0.2">
      <c r="A315" s="103" t="s">
        <v>156</v>
      </c>
      <c r="B315" s="198" t="s">
        <v>157</v>
      </c>
      <c r="C315" s="37" t="s">
        <v>158</v>
      </c>
      <c r="D315" s="103">
        <v>24</v>
      </c>
      <c r="E315" s="122">
        <v>722127</v>
      </c>
      <c r="F315" s="122">
        <v>722127</v>
      </c>
      <c r="G315" s="200" t="s">
        <v>457</v>
      </c>
      <c r="H315" s="201">
        <v>0</v>
      </c>
      <c r="I315" s="122">
        <v>2253</v>
      </c>
      <c r="J315" s="201">
        <v>0</v>
      </c>
      <c r="K315" s="122">
        <v>2253</v>
      </c>
      <c r="L315" s="122">
        <v>-2253</v>
      </c>
    </row>
    <row r="316" spans="1:12" ht="15" customHeight="1" x14ac:dyDescent="0.2">
      <c r="A316" s="206" t="s">
        <v>400</v>
      </c>
      <c r="B316" s="205" t="s">
        <v>464</v>
      </c>
      <c r="C316" s="205" t="s">
        <v>464</v>
      </c>
      <c r="D316" s="205" t="s">
        <v>464</v>
      </c>
      <c r="E316" s="117">
        <f>SUBTOTAL(109,local199293[Program
Costs])</f>
        <v>5693119</v>
      </c>
      <c r="F316" s="117">
        <f>SUBTOTAL(109,local199293[Less: Net 
Payments
 and Offsets 1])</f>
        <v>5693119</v>
      </c>
      <c r="G316" s="205" t="s">
        <v>464</v>
      </c>
      <c r="H316" s="204">
        <f>SUBTOTAL(109,local199293[Accounts Payable
Balance])</f>
        <v>0</v>
      </c>
      <c r="I316" s="117">
        <f>SUBTOTAL(109,local199293[Established
Accounts Receivable])</f>
        <v>2966</v>
      </c>
      <c r="J316" s="204">
        <f>SUBTOTAL(109,local199293[Less: 
Recovered 
Amount])</f>
        <v>0</v>
      </c>
      <c r="K316" s="117">
        <f>SUBTOTAL(109,local199293[Accounts Receivable
Balance])</f>
        <v>2966</v>
      </c>
      <c r="L316" s="117">
        <f>SUBTOTAL(109,local199293[Net
Balance])</f>
        <v>-2966</v>
      </c>
    </row>
    <row r="317" spans="1:12" x14ac:dyDescent="0.2">
      <c r="A317" s="169" t="s">
        <v>463</v>
      </c>
      <c r="B317" s="198"/>
      <c r="C317" s="37"/>
      <c r="D317" s="103"/>
      <c r="E317" s="122"/>
      <c r="F317" s="122"/>
      <c r="G317" s="122"/>
      <c r="H317" s="122"/>
      <c r="I317" s="122"/>
      <c r="J317" s="122"/>
      <c r="K317" s="122"/>
      <c r="L317" s="122"/>
    </row>
    <row r="318" spans="1:12" ht="50.1" customHeight="1" x14ac:dyDescent="0.2">
      <c r="A318" s="40" t="s">
        <v>1</v>
      </c>
      <c r="B318" s="40" t="s">
        <v>15</v>
      </c>
      <c r="C318" s="40" t="s">
        <v>16</v>
      </c>
      <c r="D318" s="193" t="s">
        <v>454</v>
      </c>
      <c r="E318" s="194" t="s">
        <v>3</v>
      </c>
      <c r="F318" s="40" t="s">
        <v>587</v>
      </c>
      <c r="G318" s="196" t="s">
        <v>462</v>
      </c>
      <c r="H318" s="197" t="s">
        <v>461</v>
      </c>
      <c r="I318" s="197" t="s">
        <v>460</v>
      </c>
      <c r="J318" s="197" t="s">
        <v>459</v>
      </c>
      <c r="K318" s="197" t="s">
        <v>458</v>
      </c>
      <c r="L318" s="197" t="s">
        <v>17</v>
      </c>
    </row>
    <row r="319" spans="1:12" ht="15" customHeight="1" x14ac:dyDescent="0.2">
      <c r="A319" s="103" t="s">
        <v>159</v>
      </c>
      <c r="B319" s="198" t="s">
        <v>82</v>
      </c>
      <c r="C319" s="37" t="s">
        <v>83</v>
      </c>
      <c r="D319" s="103">
        <v>41</v>
      </c>
      <c r="E319" s="122">
        <v>2102143</v>
      </c>
      <c r="F319" s="122">
        <v>2102143</v>
      </c>
      <c r="G319" s="200" t="s">
        <v>457</v>
      </c>
      <c r="H319" s="201">
        <v>0</v>
      </c>
      <c r="I319" s="122">
        <v>153432</v>
      </c>
      <c r="J319" s="122">
        <v>114504</v>
      </c>
      <c r="K319" s="122">
        <v>38928</v>
      </c>
      <c r="L319" s="122">
        <v>-38928</v>
      </c>
    </row>
    <row r="320" spans="1:12" ht="15" customHeight="1" x14ac:dyDescent="0.2">
      <c r="A320" s="103" t="s">
        <v>159</v>
      </c>
      <c r="B320" s="198" t="s">
        <v>149</v>
      </c>
      <c r="C320" s="37" t="s">
        <v>72</v>
      </c>
      <c r="D320" s="103">
        <v>49</v>
      </c>
      <c r="E320" s="122">
        <v>5350067</v>
      </c>
      <c r="F320" s="122">
        <v>5350067</v>
      </c>
      <c r="G320" s="200" t="s">
        <v>457</v>
      </c>
      <c r="H320" s="201">
        <v>0</v>
      </c>
      <c r="I320" s="122">
        <v>48328</v>
      </c>
      <c r="J320" s="122">
        <v>47747</v>
      </c>
      <c r="K320" s="122">
        <v>581</v>
      </c>
      <c r="L320" s="122">
        <v>-581</v>
      </c>
    </row>
    <row r="321" spans="1:12" ht="15" customHeight="1" x14ac:dyDescent="0.2">
      <c r="A321" s="103" t="s">
        <v>159</v>
      </c>
      <c r="B321" s="198" t="s">
        <v>160</v>
      </c>
      <c r="C321" s="37" t="s">
        <v>161</v>
      </c>
      <c r="D321" s="103">
        <v>64</v>
      </c>
      <c r="E321" s="122">
        <v>7349099</v>
      </c>
      <c r="F321" s="122">
        <v>7349099</v>
      </c>
      <c r="G321" s="200" t="s">
        <v>457</v>
      </c>
      <c r="H321" s="201">
        <v>0</v>
      </c>
      <c r="I321" s="122">
        <v>293279</v>
      </c>
      <c r="J321" s="122">
        <v>284557</v>
      </c>
      <c r="K321" s="122">
        <v>8722</v>
      </c>
      <c r="L321" s="122">
        <v>-8722</v>
      </c>
    </row>
    <row r="322" spans="1:12" ht="15" customHeight="1" x14ac:dyDescent="0.2">
      <c r="A322" s="206" t="s">
        <v>401</v>
      </c>
      <c r="B322" s="205" t="s">
        <v>464</v>
      </c>
      <c r="C322" s="205" t="s">
        <v>464</v>
      </c>
      <c r="D322" s="205" t="s">
        <v>464</v>
      </c>
      <c r="E322" s="117">
        <f>SUBTOTAL(109,local199192[Program
Costs])</f>
        <v>14801309</v>
      </c>
      <c r="F322" s="117">
        <f>SUBTOTAL(109,local199192[Less: Net 
Payments
 and Offsets 1])</f>
        <v>14801309</v>
      </c>
      <c r="G322" s="205" t="s">
        <v>464</v>
      </c>
      <c r="H322" s="204">
        <f>SUBTOTAL(109,local199192[Accounts Payable
Balance])</f>
        <v>0</v>
      </c>
      <c r="I322" s="117">
        <f>SUBTOTAL(109,local199192[Established
Accounts Receivable])</f>
        <v>495039</v>
      </c>
      <c r="J322" s="117">
        <f>SUBTOTAL(109,local199192[Less: 
Recovered 
Amount])</f>
        <v>446808</v>
      </c>
      <c r="K322" s="117">
        <f>SUBTOTAL(109,local199192[Accounts Receivable
Balance])</f>
        <v>48231</v>
      </c>
      <c r="L322" s="117">
        <f>SUBTOTAL(109,local199192[Net
Balance])</f>
        <v>-48231</v>
      </c>
    </row>
    <row r="323" spans="1:12" x14ac:dyDescent="0.2">
      <c r="A323" s="169" t="s">
        <v>463</v>
      </c>
      <c r="B323" s="198"/>
      <c r="C323" s="37"/>
      <c r="D323" s="103"/>
      <c r="E323" s="122"/>
      <c r="F323" s="122"/>
      <c r="G323" s="122"/>
      <c r="H323" s="122"/>
      <c r="I323" s="122"/>
      <c r="J323" s="122"/>
      <c r="K323" s="122"/>
      <c r="L323" s="122"/>
    </row>
    <row r="324" spans="1:12" ht="50.1" customHeight="1" x14ac:dyDescent="0.2">
      <c r="A324" s="40" t="s">
        <v>1</v>
      </c>
      <c r="B324" s="40" t="s">
        <v>15</v>
      </c>
      <c r="C324" s="40" t="s">
        <v>16</v>
      </c>
      <c r="D324" s="193" t="s">
        <v>454</v>
      </c>
      <c r="E324" s="194" t="s">
        <v>3</v>
      </c>
      <c r="F324" s="40" t="s">
        <v>587</v>
      </c>
      <c r="G324" s="196" t="s">
        <v>462</v>
      </c>
      <c r="H324" s="197" t="s">
        <v>461</v>
      </c>
      <c r="I324" s="197" t="s">
        <v>460</v>
      </c>
      <c r="J324" s="197" t="s">
        <v>459</v>
      </c>
      <c r="K324" s="197" t="s">
        <v>458</v>
      </c>
      <c r="L324" s="197" t="s">
        <v>17</v>
      </c>
    </row>
    <row r="325" spans="1:12" ht="15" customHeight="1" x14ac:dyDescent="0.2">
      <c r="A325" s="130" t="s">
        <v>589</v>
      </c>
      <c r="B325" s="207" t="s">
        <v>464</v>
      </c>
      <c r="C325" s="207" t="s">
        <v>464</v>
      </c>
      <c r="D325" s="207" t="s">
        <v>464</v>
      </c>
      <c r="E325" s="221">
        <v>63912672</v>
      </c>
      <c r="F325" s="126">
        <v>0</v>
      </c>
      <c r="G325" s="207" t="s">
        <v>464</v>
      </c>
      <c r="H325" s="73">
        <v>63912672</v>
      </c>
      <c r="I325" s="126">
        <v>0</v>
      </c>
      <c r="J325" s="126">
        <v>0</v>
      </c>
      <c r="K325" s="126">
        <v>0</v>
      </c>
      <c r="L325" s="221">
        <v>63912672</v>
      </c>
    </row>
    <row r="326" spans="1:12" x14ac:dyDescent="0.2">
      <c r="A326" s="130" t="s">
        <v>425</v>
      </c>
      <c r="B326" s="207" t="s">
        <v>464</v>
      </c>
      <c r="C326" s="207" t="s">
        <v>464</v>
      </c>
      <c r="D326" s="207" t="s">
        <v>464</v>
      </c>
      <c r="E326" s="73">
        <v>46184574</v>
      </c>
      <c r="F326" s="126">
        <v>27194824</v>
      </c>
      <c r="G326" s="207" t="s">
        <v>464</v>
      </c>
      <c r="H326" s="73">
        <v>18989750</v>
      </c>
      <c r="I326" s="73">
        <v>1677</v>
      </c>
      <c r="J326" s="208">
        <v>0</v>
      </c>
      <c r="K326" s="73">
        <v>1677</v>
      </c>
      <c r="L326" s="73">
        <v>18988073</v>
      </c>
    </row>
    <row r="327" spans="1:12" x14ac:dyDescent="0.2">
      <c r="A327" s="130" t="s">
        <v>18</v>
      </c>
      <c r="B327" s="207" t="s">
        <v>464</v>
      </c>
      <c r="C327" s="207" t="s">
        <v>464</v>
      </c>
      <c r="D327" s="207" t="s">
        <v>464</v>
      </c>
      <c r="E327" s="73">
        <v>53906555</v>
      </c>
      <c r="F327" s="73">
        <v>35485148</v>
      </c>
      <c r="G327" s="207" t="s">
        <v>464</v>
      </c>
      <c r="H327" s="73">
        <v>18421407</v>
      </c>
      <c r="I327" s="73">
        <v>1511987</v>
      </c>
      <c r="J327" s="73">
        <v>418078</v>
      </c>
      <c r="K327" s="73">
        <v>1093909</v>
      </c>
      <c r="L327" s="73">
        <v>17327498</v>
      </c>
    </row>
    <row r="328" spans="1:12" ht="15" customHeight="1" x14ac:dyDescent="0.2">
      <c r="A328" s="130" t="s">
        <v>63</v>
      </c>
      <c r="B328" s="207" t="s">
        <v>464</v>
      </c>
      <c r="C328" s="207" t="s">
        <v>464</v>
      </c>
      <c r="D328" s="207" t="s">
        <v>464</v>
      </c>
      <c r="E328" s="73">
        <v>50285864</v>
      </c>
      <c r="F328" s="73">
        <v>32347198</v>
      </c>
      <c r="G328" s="207" t="s">
        <v>464</v>
      </c>
      <c r="H328" s="73">
        <v>17938666</v>
      </c>
      <c r="I328" s="73">
        <v>1234735</v>
      </c>
      <c r="J328" s="73">
        <v>205605</v>
      </c>
      <c r="K328" s="73">
        <v>1029130</v>
      </c>
      <c r="L328" s="73">
        <v>16909536</v>
      </c>
    </row>
    <row r="329" spans="1:12" x14ac:dyDescent="0.2">
      <c r="A329" s="130" t="s">
        <v>64</v>
      </c>
      <c r="B329" s="207" t="s">
        <v>464</v>
      </c>
      <c r="C329" s="207" t="s">
        <v>464</v>
      </c>
      <c r="D329" s="207" t="s">
        <v>464</v>
      </c>
      <c r="E329" s="73">
        <v>29809148</v>
      </c>
      <c r="F329" s="73">
        <v>22460958</v>
      </c>
      <c r="G329" s="207" t="s">
        <v>464</v>
      </c>
      <c r="H329" s="73">
        <v>7348190</v>
      </c>
      <c r="I329" s="73">
        <v>1222986</v>
      </c>
      <c r="J329" s="73">
        <v>173957</v>
      </c>
      <c r="K329" s="73">
        <v>1049029</v>
      </c>
      <c r="L329" s="73">
        <v>6299161</v>
      </c>
    </row>
    <row r="330" spans="1:12" x14ac:dyDescent="0.2">
      <c r="A330" s="130" t="s">
        <v>65</v>
      </c>
      <c r="B330" s="207" t="s">
        <v>464</v>
      </c>
      <c r="C330" s="207" t="s">
        <v>464</v>
      </c>
      <c r="D330" s="207" t="s">
        <v>464</v>
      </c>
      <c r="E330" s="73">
        <v>20773690</v>
      </c>
      <c r="F330" s="73">
        <v>14541640</v>
      </c>
      <c r="G330" s="207" t="s">
        <v>464</v>
      </c>
      <c r="H330" s="73">
        <v>6232050</v>
      </c>
      <c r="I330" s="73">
        <v>1184538</v>
      </c>
      <c r="J330" s="73">
        <v>151669</v>
      </c>
      <c r="K330" s="73">
        <v>1032869</v>
      </c>
      <c r="L330" s="73">
        <v>5199181</v>
      </c>
    </row>
    <row r="331" spans="1:12" x14ac:dyDescent="0.2">
      <c r="A331" s="130" t="s">
        <v>66</v>
      </c>
      <c r="B331" s="207" t="s">
        <v>464</v>
      </c>
      <c r="C331" s="207" t="s">
        <v>464</v>
      </c>
      <c r="D331" s="207" t="s">
        <v>464</v>
      </c>
      <c r="E331" s="73">
        <v>7080395</v>
      </c>
      <c r="F331" s="73">
        <v>298477</v>
      </c>
      <c r="G331" s="207" t="s">
        <v>464</v>
      </c>
      <c r="H331" s="73">
        <v>6781918</v>
      </c>
      <c r="I331" s="73">
        <v>233747</v>
      </c>
      <c r="J331" s="126">
        <v>0</v>
      </c>
      <c r="K331" s="73">
        <v>233747</v>
      </c>
      <c r="L331" s="73">
        <v>6548171</v>
      </c>
    </row>
    <row r="332" spans="1:12" x14ac:dyDescent="0.2">
      <c r="A332" s="130" t="s">
        <v>67</v>
      </c>
      <c r="B332" s="207" t="s">
        <v>464</v>
      </c>
      <c r="C332" s="207" t="s">
        <v>464</v>
      </c>
      <c r="D332" s="207" t="s">
        <v>464</v>
      </c>
      <c r="E332" s="73">
        <v>6118565</v>
      </c>
      <c r="F332" s="126">
        <v>0</v>
      </c>
      <c r="G332" s="207" t="s">
        <v>464</v>
      </c>
      <c r="H332" s="73">
        <v>6118565</v>
      </c>
      <c r="I332" s="126">
        <v>0</v>
      </c>
      <c r="J332" s="126">
        <v>0</v>
      </c>
      <c r="K332" s="126">
        <v>0</v>
      </c>
      <c r="L332" s="73">
        <v>6118565</v>
      </c>
    </row>
    <row r="333" spans="1:12" x14ac:dyDescent="0.2">
      <c r="A333" s="130" t="s">
        <v>68</v>
      </c>
      <c r="B333" s="207" t="s">
        <v>464</v>
      </c>
      <c r="C333" s="207" t="s">
        <v>464</v>
      </c>
      <c r="D333" s="207" t="s">
        <v>464</v>
      </c>
      <c r="E333" s="73">
        <v>13840547</v>
      </c>
      <c r="F333" s="73">
        <v>7825991</v>
      </c>
      <c r="G333" s="207" t="s">
        <v>464</v>
      </c>
      <c r="H333" s="73">
        <v>6014556</v>
      </c>
      <c r="I333" s="73">
        <v>132637</v>
      </c>
      <c r="J333" s="73">
        <v>98973</v>
      </c>
      <c r="K333" s="73">
        <v>33664</v>
      </c>
      <c r="L333" s="73">
        <v>5980892</v>
      </c>
    </row>
    <row r="334" spans="1:12" x14ac:dyDescent="0.2">
      <c r="A334" s="130" t="s">
        <v>69</v>
      </c>
      <c r="B334" s="207" t="s">
        <v>464</v>
      </c>
      <c r="C334" s="207" t="s">
        <v>464</v>
      </c>
      <c r="D334" s="207" t="s">
        <v>464</v>
      </c>
      <c r="E334" s="73">
        <v>5461966</v>
      </c>
      <c r="F334" s="126">
        <v>0</v>
      </c>
      <c r="G334" s="207" t="s">
        <v>464</v>
      </c>
      <c r="H334" s="73">
        <v>5461966</v>
      </c>
      <c r="I334" s="126">
        <v>0</v>
      </c>
      <c r="J334" s="126">
        <v>0</v>
      </c>
      <c r="K334" s="126">
        <v>0</v>
      </c>
      <c r="L334" s="73">
        <v>5461966</v>
      </c>
    </row>
    <row r="335" spans="1:12" x14ac:dyDescent="0.2">
      <c r="A335" s="130" t="s">
        <v>70</v>
      </c>
      <c r="B335" s="207" t="s">
        <v>464</v>
      </c>
      <c r="C335" s="207" t="s">
        <v>464</v>
      </c>
      <c r="D335" s="207" t="s">
        <v>464</v>
      </c>
      <c r="E335" s="73">
        <v>20208292</v>
      </c>
      <c r="F335" s="126">
        <v>372223</v>
      </c>
      <c r="G335" s="207" t="s">
        <v>464</v>
      </c>
      <c r="H335" s="73">
        <v>19836069</v>
      </c>
      <c r="I335" s="126">
        <v>0</v>
      </c>
      <c r="J335" s="126">
        <v>0</v>
      </c>
      <c r="K335" s="126">
        <v>0</v>
      </c>
      <c r="L335" s="73">
        <v>19836069</v>
      </c>
    </row>
    <row r="336" spans="1:12" x14ac:dyDescent="0.2">
      <c r="A336" s="130" t="s">
        <v>73</v>
      </c>
      <c r="B336" s="207" t="s">
        <v>464</v>
      </c>
      <c r="C336" s="207" t="s">
        <v>464</v>
      </c>
      <c r="D336" s="207" t="s">
        <v>464</v>
      </c>
      <c r="E336" s="73">
        <v>50625702</v>
      </c>
      <c r="F336" s="73">
        <v>2438229</v>
      </c>
      <c r="G336" s="207" t="s">
        <v>464</v>
      </c>
      <c r="H336" s="73">
        <v>48187473</v>
      </c>
      <c r="I336" s="73">
        <v>11046</v>
      </c>
      <c r="J336" s="126">
        <v>0</v>
      </c>
      <c r="K336" s="73">
        <v>11046</v>
      </c>
      <c r="L336" s="73">
        <v>48176427</v>
      </c>
    </row>
    <row r="337" spans="1:12" x14ac:dyDescent="0.2">
      <c r="A337" s="130" t="s">
        <v>13</v>
      </c>
      <c r="B337" s="207" t="s">
        <v>464</v>
      </c>
      <c r="C337" s="207" t="s">
        <v>464</v>
      </c>
      <c r="D337" s="207" t="s">
        <v>464</v>
      </c>
      <c r="E337" s="73">
        <v>58809886</v>
      </c>
      <c r="F337" s="73">
        <v>2028106</v>
      </c>
      <c r="G337" s="207" t="s">
        <v>464</v>
      </c>
      <c r="H337" s="73">
        <v>56781780</v>
      </c>
      <c r="I337" s="73">
        <v>9444</v>
      </c>
      <c r="J337" s="126">
        <v>0</v>
      </c>
      <c r="K337" s="73">
        <v>9444</v>
      </c>
      <c r="L337" s="73">
        <v>56772336</v>
      </c>
    </row>
    <row r="338" spans="1:12" x14ac:dyDescent="0.2">
      <c r="A338" s="130" t="s">
        <v>120</v>
      </c>
      <c r="B338" s="207" t="s">
        <v>464</v>
      </c>
      <c r="C338" s="207" t="s">
        <v>464</v>
      </c>
      <c r="D338" s="207" t="s">
        <v>464</v>
      </c>
      <c r="E338" s="73">
        <v>54965074</v>
      </c>
      <c r="F338" s="73">
        <v>2092004</v>
      </c>
      <c r="G338" s="207" t="s">
        <v>464</v>
      </c>
      <c r="H338" s="73">
        <v>52873070</v>
      </c>
      <c r="I338" s="73">
        <v>7837</v>
      </c>
      <c r="J338" s="126">
        <v>0</v>
      </c>
      <c r="K338" s="73">
        <v>7837</v>
      </c>
      <c r="L338" s="73">
        <v>52865233</v>
      </c>
    </row>
    <row r="339" spans="1:12" x14ac:dyDescent="0.2">
      <c r="A339" s="130" t="s">
        <v>131</v>
      </c>
      <c r="B339" s="207" t="s">
        <v>464</v>
      </c>
      <c r="C339" s="207" t="s">
        <v>464</v>
      </c>
      <c r="D339" s="207" t="s">
        <v>464</v>
      </c>
      <c r="E339" s="73">
        <v>66596540</v>
      </c>
      <c r="F339" s="73">
        <v>2147640</v>
      </c>
      <c r="G339" s="207" t="s">
        <v>464</v>
      </c>
      <c r="H339" s="73">
        <v>64448900</v>
      </c>
      <c r="I339" s="73">
        <v>6821</v>
      </c>
      <c r="J339" s="126">
        <v>0</v>
      </c>
      <c r="K339" s="73">
        <v>6821</v>
      </c>
      <c r="L339" s="73">
        <v>64442079</v>
      </c>
    </row>
    <row r="340" spans="1:12" x14ac:dyDescent="0.2">
      <c r="A340" s="130" t="s">
        <v>136</v>
      </c>
      <c r="B340" s="207" t="s">
        <v>464</v>
      </c>
      <c r="C340" s="207" t="s">
        <v>464</v>
      </c>
      <c r="D340" s="207" t="s">
        <v>464</v>
      </c>
      <c r="E340" s="73">
        <v>59668491</v>
      </c>
      <c r="F340" s="73">
        <v>42743955</v>
      </c>
      <c r="G340" s="207" t="s">
        <v>464</v>
      </c>
      <c r="H340" s="73">
        <v>16924536</v>
      </c>
      <c r="I340" s="73">
        <v>19896474</v>
      </c>
      <c r="J340" s="73">
        <v>19083453</v>
      </c>
      <c r="K340" s="73">
        <v>813021</v>
      </c>
      <c r="L340" s="73">
        <v>16111515</v>
      </c>
    </row>
    <row r="341" spans="1:12" x14ac:dyDescent="0.2">
      <c r="A341" s="130" t="s">
        <v>137</v>
      </c>
      <c r="B341" s="207" t="s">
        <v>464</v>
      </c>
      <c r="C341" s="207" t="s">
        <v>464</v>
      </c>
      <c r="D341" s="207" t="s">
        <v>464</v>
      </c>
      <c r="E341" s="73">
        <v>46286554</v>
      </c>
      <c r="F341" s="73">
        <v>30799465</v>
      </c>
      <c r="G341" s="207" t="s">
        <v>464</v>
      </c>
      <c r="H341" s="73">
        <v>15487089</v>
      </c>
      <c r="I341" s="73">
        <v>11065965</v>
      </c>
      <c r="J341" s="73">
        <v>10442247</v>
      </c>
      <c r="K341" s="73">
        <v>623718</v>
      </c>
      <c r="L341" s="73">
        <v>14863371</v>
      </c>
    </row>
    <row r="342" spans="1:12" x14ac:dyDescent="0.2">
      <c r="A342" s="130" t="s">
        <v>138</v>
      </c>
      <c r="B342" s="207" t="s">
        <v>464</v>
      </c>
      <c r="C342" s="207" t="s">
        <v>464</v>
      </c>
      <c r="D342" s="207" t="s">
        <v>464</v>
      </c>
      <c r="E342" s="73">
        <v>66754926</v>
      </c>
      <c r="F342" s="73">
        <v>53146907</v>
      </c>
      <c r="G342" s="207" t="s">
        <v>464</v>
      </c>
      <c r="H342" s="73">
        <v>13608019</v>
      </c>
      <c r="I342" s="73">
        <v>7935267</v>
      </c>
      <c r="J342" s="73">
        <v>7848659</v>
      </c>
      <c r="K342" s="73">
        <v>86608</v>
      </c>
      <c r="L342" s="73">
        <v>13521411</v>
      </c>
    </row>
    <row r="343" spans="1:12" x14ac:dyDescent="0.2">
      <c r="A343" s="130" t="s">
        <v>139</v>
      </c>
      <c r="B343" s="207" t="s">
        <v>464</v>
      </c>
      <c r="C343" s="207" t="s">
        <v>464</v>
      </c>
      <c r="D343" s="207" t="s">
        <v>464</v>
      </c>
      <c r="E343" s="73">
        <v>1000193</v>
      </c>
      <c r="F343" s="73">
        <v>955226</v>
      </c>
      <c r="G343" s="207" t="s">
        <v>464</v>
      </c>
      <c r="H343" s="73">
        <v>44967</v>
      </c>
      <c r="I343" s="126">
        <v>0</v>
      </c>
      <c r="J343" s="126">
        <v>0</v>
      </c>
      <c r="K343" s="126">
        <v>0</v>
      </c>
      <c r="L343" s="73">
        <v>44967</v>
      </c>
    </row>
    <row r="344" spans="1:12" x14ac:dyDescent="0.2">
      <c r="A344" s="130" t="s">
        <v>140</v>
      </c>
      <c r="B344" s="207" t="s">
        <v>464</v>
      </c>
      <c r="C344" s="207" t="s">
        <v>464</v>
      </c>
      <c r="D344" s="207" t="s">
        <v>464</v>
      </c>
      <c r="E344" s="73">
        <v>1069388</v>
      </c>
      <c r="F344" s="73">
        <v>905188</v>
      </c>
      <c r="G344" s="207" t="s">
        <v>464</v>
      </c>
      <c r="H344" s="73">
        <v>164200</v>
      </c>
      <c r="I344" s="126">
        <v>0</v>
      </c>
      <c r="J344" s="126">
        <v>0</v>
      </c>
      <c r="K344" s="126">
        <v>0</v>
      </c>
      <c r="L344" s="73">
        <v>164200</v>
      </c>
    </row>
    <row r="345" spans="1:12" x14ac:dyDescent="0.2">
      <c r="A345" s="130" t="s">
        <v>141</v>
      </c>
      <c r="B345" s="207" t="s">
        <v>464</v>
      </c>
      <c r="C345" s="207" t="s">
        <v>464</v>
      </c>
      <c r="D345" s="207" t="s">
        <v>464</v>
      </c>
      <c r="E345" s="73">
        <v>20851478</v>
      </c>
      <c r="F345" s="73">
        <v>20723544</v>
      </c>
      <c r="G345" s="207" t="s">
        <v>464</v>
      </c>
      <c r="H345" s="73">
        <v>127934</v>
      </c>
      <c r="I345" s="73">
        <v>239828</v>
      </c>
      <c r="J345" s="73">
        <v>230494</v>
      </c>
      <c r="K345" s="73">
        <v>9334</v>
      </c>
      <c r="L345" s="73">
        <v>118600</v>
      </c>
    </row>
    <row r="346" spans="1:12" x14ac:dyDescent="0.2">
      <c r="A346" s="130" t="s">
        <v>144</v>
      </c>
      <c r="B346" s="207" t="s">
        <v>464</v>
      </c>
      <c r="C346" s="207" t="s">
        <v>464</v>
      </c>
      <c r="D346" s="207" t="s">
        <v>464</v>
      </c>
      <c r="E346" s="73">
        <v>112301</v>
      </c>
      <c r="F346" s="126">
        <v>0</v>
      </c>
      <c r="G346" s="207" t="s">
        <v>464</v>
      </c>
      <c r="H346" s="73">
        <v>112301</v>
      </c>
      <c r="I346" s="126">
        <v>0</v>
      </c>
      <c r="J346" s="126">
        <v>0</v>
      </c>
      <c r="K346" s="126">
        <v>0</v>
      </c>
      <c r="L346" s="73">
        <v>112301</v>
      </c>
    </row>
    <row r="347" spans="1:12" x14ac:dyDescent="0.2">
      <c r="A347" s="130" t="s">
        <v>145</v>
      </c>
      <c r="B347" s="207" t="s">
        <v>464</v>
      </c>
      <c r="C347" s="207" t="s">
        <v>464</v>
      </c>
      <c r="D347" s="207" t="s">
        <v>464</v>
      </c>
      <c r="E347" s="73">
        <v>14643173</v>
      </c>
      <c r="F347" s="73">
        <v>14609736</v>
      </c>
      <c r="G347" s="207" t="s">
        <v>464</v>
      </c>
      <c r="H347" s="73">
        <v>33437</v>
      </c>
      <c r="I347" s="73">
        <v>4962586</v>
      </c>
      <c r="J347" s="73">
        <v>4875829</v>
      </c>
      <c r="K347" s="73">
        <v>86757</v>
      </c>
      <c r="L347" s="73">
        <v>-53320</v>
      </c>
    </row>
    <row r="348" spans="1:12" x14ac:dyDescent="0.2">
      <c r="A348" s="130" t="s">
        <v>148</v>
      </c>
      <c r="B348" s="207" t="s">
        <v>464</v>
      </c>
      <c r="C348" s="207" t="s">
        <v>464</v>
      </c>
      <c r="D348" s="207" t="s">
        <v>464</v>
      </c>
      <c r="E348" s="73">
        <v>9294252</v>
      </c>
      <c r="F348" s="73">
        <v>9253867</v>
      </c>
      <c r="G348" s="207" t="s">
        <v>464</v>
      </c>
      <c r="H348" s="73">
        <v>40385</v>
      </c>
      <c r="I348" s="73">
        <v>2597904</v>
      </c>
      <c r="J348" s="73">
        <v>2431476</v>
      </c>
      <c r="K348" s="73">
        <v>166428</v>
      </c>
      <c r="L348" s="73">
        <v>-126043</v>
      </c>
    </row>
    <row r="349" spans="1:12" x14ac:dyDescent="0.2">
      <c r="A349" s="130" t="s">
        <v>152</v>
      </c>
      <c r="B349" s="207" t="s">
        <v>464</v>
      </c>
      <c r="C349" s="207" t="s">
        <v>464</v>
      </c>
      <c r="D349" s="207" t="s">
        <v>464</v>
      </c>
      <c r="E349" s="73">
        <v>8548806</v>
      </c>
      <c r="F349" s="73">
        <v>8548806</v>
      </c>
      <c r="G349" s="207" t="s">
        <v>464</v>
      </c>
      <c r="H349" s="126">
        <v>0</v>
      </c>
      <c r="I349" s="73">
        <v>414227</v>
      </c>
      <c r="J349" s="73">
        <v>412381</v>
      </c>
      <c r="K349" s="73">
        <v>1846</v>
      </c>
      <c r="L349" s="73">
        <v>-1846</v>
      </c>
    </row>
    <row r="350" spans="1:12" x14ac:dyDescent="0.2">
      <c r="A350" s="130" t="s">
        <v>153</v>
      </c>
      <c r="B350" s="207" t="s">
        <v>464</v>
      </c>
      <c r="C350" s="207" t="s">
        <v>464</v>
      </c>
      <c r="D350" s="207" t="s">
        <v>464</v>
      </c>
      <c r="E350" s="73">
        <v>3560480</v>
      </c>
      <c r="F350" s="73">
        <v>3560480</v>
      </c>
      <c r="G350" s="207" t="s">
        <v>464</v>
      </c>
      <c r="H350" s="126">
        <v>0</v>
      </c>
      <c r="I350" s="73">
        <v>319940</v>
      </c>
      <c r="J350" s="73">
        <v>319763</v>
      </c>
      <c r="K350" s="73">
        <v>177</v>
      </c>
      <c r="L350" s="73">
        <v>-177</v>
      </c>
    </row>
    <row r="351" spans="1:12" x14ac:dyDescent="0.2">
      <c r="A351" s="130" t="s">
        <v>154</v>
      </c>
      <c r="B351" s="207" t="s">
        <v>464</v>
      </c>
      <c r="C351" s="207" t="s">
        <v>464</v>
      </c>
      <c r="D351" s="207" t="s">
        <v>464</v>
      </c>
      <c r="E351" s="73">
        <v>6658366</v>
      </c>
      <c r="F351" s="73">
        <v>6658366</v>
      </c>
      <c r="G351" s="207" t="s">
        <v>464</v>
      </c>
      <c r="H351" s="126">
        <v>0</v>
      </c>
      <c r="I351" s="73">
        <v>1531822</v>
      </c>
      <c r="J351" s="73">
        <v>1525780</v>
      </c>
      <c r="K351" s="73">
        <v>6042</v>
      </c>
      <c r="L351" s="73">
        <v>-6042</v>
      </c>
    </row>
    <row r="352" spans="1:12" x14ac:dyDescent="0.2">
      <c r="A352" s="130" t="s">
        <v>155</v>
      </c>
      <c r="B352" s="207" t="s">
        <v>464</v>
      </c>
      <c r="C352" s="207" t="s">
        <v>464</v>
      </c>
      <c r="D352" s="207" t="s">
        <v>464</v>
      </c>
      <c r="E352" s="73">
        <v>3097183</v>
      </c>
      <c r="F352" s="73">
        <v>3097183</v>
      </c>
      <c r="G352" s="207" t="s">
        <v>464</v>
      </c>
      <c r="H352" s="126">
        <v>0</v>
      </c>
      <c r="I352" s="73">
        <v>201105</v>
      </c>
      <c r="J352" s="73">
        <v>200520</v>
      </c>
      <c r="K352" s="73">
        <v>585</v>
      </c>
      <c r="L352" s="73">
        <v>-585</v>
      </c>
    </row>
    <row r="353" spans="1:12" x14ac:dyDescent="0.2">
      <c r="A353" s="130" t="s">
        <v>156</v>
      </c>
      <c r="B353" s="207" t="s">
        <v>464</v>
      </c>
      <c r="C353" s="207" t="s">
        <v>464</v>
      </c>
      <c r="D353" s="207" t="s">
        <v>464</v>
      </c>
      <c r="E353" s="73">
        <v>5693119</v>
      </c>
      <c r="F353" s="73">
        <v>5693119</v>
      </c>
      <c r="G353" s="207" t="s">
        <v>464</v>
      </c>
      <c r="H353" s="126">
        <v>0</v>
      </c>
      <c r="I353" s="73">
        <v>2966</v>
      </c>
      <c r="J353" s="126">
        <v>0</v>
      </c>
      <c r="K353" s="73">
        <v>2966</v>
      </c>
      <c r="L353" s="73">
        <v>-2966</v>
      </c>
    </row>
    <row r="354" spans="1:12" x14ac:dyDescent="0.2">
      <c r="A354" s="130" t="s">
        <v>159</v>
      </c>
      <c r="B354" s="207" t="s">
        <v>464</v>
      </c>
      <c r="C354" s="207" t="s">
        <v>464</v>
      </c>
      <c r="D354" s="207" t="s">
        <v>464</v>
      </c>
      <c r="E354" s="73">
        <v>14801309</v>
      </c>
      <c r="F354" s="73">
        <v>14801309</v>
      </c>
      <c r="G354" s="207" t="s">
        <v>464</v>
      </c>
      <c r="H354" s="126">
        <v>0</v>
      </c>
      <c r="I354" s="73">
        <v>495039</v>
      </c>
      <c r="J354" s="73">
        <v>446808</v>
      </c>
      <c r="K354" s="73">
        <v>48231</v>
      </c>
      <c r="L354" s="73">
        <v>-48231</v>
      </c>
    </row>
    <row r="355" spans="1:12" x14ac:dyDescent="0.2">
      <c r="A355" s="302" t="s">
        <v>7</v>
      </c>
      <c r="B355" s="303" t="s">
        <v>464</v>
      </c>
      <c r="C355" s="303" t="s">
        <v>464</v>
      </c>
      <c r="D355" s="303" t="s">
        <v>464</v>
      </c>
      <c r="E355" s="304">
        <f>SUM(E325:E354)</f>
        <v>810619489</v>
      </c>
      <c r="F355" s="304">
        <f>SUM(F325:F354)</f>
        <v>364729589</v>
      </c>
      <c r="G355" s="303" t="s">
        <v>464</v>
      </c>
      <c r="H355" s="304">
        <f>SUM(H325:H354)</f>
        <v>445889900</v>
      </c>
      <c r="I355" s="304">
        <f>SUM(I325:I354)</f>
        <v>55220578</v>
      </c>
      <c r="J355" s="304">
        <f>SUM(J325:J354)</f>
        <v>48865692</v>
      </c>
      <c r="K355" s="304">
        <f>SUM(K325:K354)</f>
        <v>6354886</v>
      </c>
      <c r="L355" s="304">
        <f>SUM(L325:L354)</f>
        <v>439535014</v>
      </c>
    </row>
    <row r="356" spans="1:12" x14ac:dyDescent="0.2">
      <c r="A356" s="209" t="s">
        <v>588</v>
      </c>
      <c r="B356" s="198"/>
      <c r="C356" s="37"/>
      <c r="D356" s="210"/>
      <c r="E356" s="211"/>
      <c r="F356" s="211"/>
      <c r="G356" s="212"/>
      <c r="H356" s="211"/>
      <c r="I356" s="211"/>
      <c r="J356" s="211"/>
      <c r="K356" s="211"/>
      <c r="L356" s="211"/>
    </row>
    <row r="357" spans="1:12" ht="18" x14ac:dyDescent="0.2">
      <c r="A357" s="119" t="s">
        <v>576</v>
      </c>
      <c r="B357" s="198"/>
      <c r="C357" s="37"/>
      <c r="D357" s="210"/>
      <c r="E357" s="211"/>
      <c r="F357" s="211"/>
      <c r="G357" s="212"/>
      <c r="H357" s="213"/>
      <c r="I357" s="213"/>
      <c r="J357" s="214"/>
      <c r="K357" s="211"/>
      <c r="L357" s="211"/>
    </row>
  </sheetData>
  <hyperlinks>
    <hyperlink ref="F2" location="'Schedule B1-Local Agencies'!A356" display="'Schedule B1-Local Agencies'!A356"/>
  </hyperlinks>
  <printOptions horizontalCentered="1" gridLines="1"/>
  <pageMargins left="0.3" right="0.3" top="1.1000000000000001" bottom="0.75" header="0.3" footer="0.1"/>
  <pageSetup scale="44" fitToHeight="0" orientation="landscape" r:id="rId1"/>
  <headerFooter>
    <oddFooter>&amp;LSchedule B1: Detail of Funded State-Mandated Programs by Fiscal Year
Local Agencies&amp;RPage &amp;P of &amp;N</oddFooter>
  </headerFooter>
  <legacyDrawing r:id="rId2"/>
  <tableParts count="31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92"/>
  <sheetViews>
    <sheetView topLeftCell="A946" zoomScale="70" zoomScaleNormal="70" zoomScaleSheetLayoutView="70" zoomScalePageLayoutView="80" workbookViewId="0">
      <selection activeCell="A949" activeCellId="6" sqref="A922:XFD924 A927:XFD929 A932:XFD934 A937:XFD938 A941:XFD942 A945:XFD946 A949:XFD950"/>
    </sheetView>
  </sheetViews>
  <sheetFormatPr defaultColWidth="9.140625" defaultRowHeight="15" x14ac:dyDescent="0.2"/>
  <cols>
    <col min="1" max="1" width="23.85546875" style="109" customWidth="1"/>
    <col min="2" max="2" width="63.7109375" style="215" customWidth="1"/>
    <col min="3" max="3" width="20.28515625" style="216" bestFit="1" customWidth="1"/>
    <col min="4" max="4" width="16.85546875" style="109" bestFit="1" customWidth="1"/>
    <col min="5" max="5" width="25.7109375" style="217" bestFit="1" customWidth="1"/>
    <col min="6" max="6" width="26.28515625" style="218" customWidth="1"/>
    <col min="7" max="7" width="2.5703125" style="218" customWidth="1"/>
    <col min="8" max="10" width="23.140625" style="217" bestFit="1" customWidth="1"/>
    <col min="11" max="11" width="21.28515625" style="217" bestFit="1" customWidth="1"/>
    <col min="12" max="12" width="23.140625" style="217" bestFit="1" customWidth="1"/>
    <col min="13" max="16384" width="9.140625" style="99"/>
  </cols>
  <sheetData>
    <row r="1" spans="1:12" ht="54" customHeight="1" x14ac:dyDescent="0.2">
      <c r="A1" s="82" t="s">
        <v>585</v>
      </c>
      <c r="B1" s="82"/>
      <c r="C1" s="83"/>
      <c r="D1" s="83"/>
      <c r="E1" s="223"/>
      <c r="F1" s="223"/>
      <c r="G1" s="223"/>
      <c r="H1" s="223"/>
      <c r="I1" s="223"/>
      <c r="J1" s="223"/>
      <c r="K1" s="223"/>
      <c r="L1" s="223"/>
    </row>
    <row r="2" spans="1:12" ht="50.1" customHeight="1" x14ac:dyDescent="0.2">
      <c r="A2" s="88" t="s">
        <v>1</v>
      </c>
      <c r="B2" s="88" t="s">
        <v>15</v>
      </c>
      <c r="C2" s="88" t="s">
        <v>16</v>
      </c>
      <c r="D2" s="88" t="s">
        <v>454</v>
      </c>
      <c r="E2" s="224" t="s">
        <v>3</v>
      </c>
      <c r="F2" s="161" t="s">
        <v>603</v>
      </c>
      <c r="G2" s="225" t="s">
        <v>466</v>
      </c>
      <c r="H2" s="224" t="s">
        <v>461</v>
      </c>
      <c r="I2" s="226" t="s">
        <v>460</v>
      </c>
      <c r="J2" s="224" t="s">
        <v>459</v>
      </c>
      <c r="K2" s="224" t="s">
        <v>458</v>
      </c>
      <c r="L2" s="224" t="s">
        <v>17</v>
      </c>
    </row>
    <row r="3" spans="1:12" ht="15" customHeight="1" x14ac:dyDescent="0.2">
      <c r="A3" s="103" t="s">
        <v>589</v>
      </c>
      <c r="B3" s="198" t="s">
        <v>217</v>
      </c>
      <c r="C3" s="37" t="s">
        <v>218</v>
      </c>
      <c r="D3" s="103">
        <v>250</v>
      </c>
      <c r="E3" s="122">
        <v>6120</v>
      </c>
      <c r="F3" s="199">
        <v>0</v>
      </c>
      <c r="G3" s="227" t="s">
        <v>457</v>
      </c>
      <c r="H3" s="122">
        <v>6120</v>
      </c>
      <c r="I3" s="199">
        <v>0</v>
      </c>
      <c r="J3" s="199">
        <v>0</v>
      </c>
      <c r="K3" s="199">
        <v>0</v>
      </c>
      <c r="L3" s="122">
        <v>6120</v>
      </c>
    </row>
    <row r="4" spans="1:12" ht="30" customHeight="1" x14ac:dyDescent="0.2">
      <c r="A4" s="103" t="s">
        <v>589</v>
      </c>
      <c r="B4" s="198" t="s">
        <v>219</v>
      </c>
      <c r="C4" s="37" t="s">
        <v>220</v>
      </c>
      <c r="D4" s="103">
        <v>369</v>
      </c>
      <c r="E4" s="122">
        <v>2472</v>
      </c>
      <c r="F4" s="199">
        <v>0</v>
      </c>
      <c r="G4" s="227" t="s">
        <v>457</v>
      </c>
      <c r="H4" s="122">
        <v>2472</v>
      </c>
      <c r="I4" s="199">
        <v>0</v>
      </c>
      <c r="J4" s="199">
        <v>0</v>
      </c>
      <c r="K4" s="199">
        <v>0</v>
      </c>
      <c r="L4" s="122">
        <v>2472</v>
      </c>
    </row>
    <row r="5" spans="1:12" ht="30" customHeight="1" x14ac:dyDescent="0.2">
      <c r="A5" s="103" t="s">
        <v>589</v>
      </c>
      <c r="B5" s="198" t="s">
        <v>221</v>
      </c>
      <c r="C5" s="37" t="s">
        <v>222</v>
      </c>
      <c r="D5" s="103">
        <v>172</v>
      </c>
      <c r="E5" s="122">
        <v>2602</v>
      </c>
      <c r="F5" s="199">
        <v>0</v>
      </c>
      <c r="G5" s="227" t="s">
        <v>457</v>
      </c>
      <c r="H5" s="122">
        <v>2602</v>
      </c>
      <c r="I5" s="199">
        <v>0</v>
      </c>
      <c r="J5" s="199">
        <v>0</v>
      </c>
      <c r="K5" s="199">
        <v>0</v>
      </c>
      <c r="L5" s="122">
        <v>2602</v>
      </c>
    </row>
    <row r="6" spans="1:12" ht="30" customHeight="1" x14ac:dyDescent="0.2">
      <c r="A6" s="103" t="s">
        <v>589</v>
      </c>
      <c r="B6" s="198" t="s">
        <v>195</v>
      </c>
      <c r="C6" s="37" t="s">
        <v>196</v>
      </c>
      <c r="D6" s="103">
        <v>11</v>
      </c>
      <c r="E6" s="122">
        <v>36820</v>
      </c>
      <c r="F6" s="199">
        <v>0</v>
      </c>
      <c r="G6" s="227" t="s">
        <v>457</v>
      </c>
      <c r="H6" s="122">
        <v>36820</v>
      </c>
      <c r="I6" s="199">
        <v>0</v>
      </c>
      <c r="J6" s="199">
        <v>0</v>
      </c>
      <c r="K6" s="199">
        <v>0</v>
      </c>
      <c r="L6" s="122">
        <v>36820</v>
      </c>
    </row>
    <row r="7" spans="1:12" ht="15" customHeight="1" x14ac:dyDescent="0.2">
      <c r="A7" s="103" t="s">
        <v>589</v>
      </c>
      <c r="B7" s="198" t="s">
        <v>223</v>
      </c>
      <c r="C7" s="37" t="s">
        <v>224</v>
      </c>
      <c r="D7" s="103">
        <v>313</v>
      </c>
      <c r="E7" s="122">
        <v>7145</v>
      </c>
      <c r="F7" s="199">
        <v>0</v>
      </c>
      <c r="G7" s="227" t="s">
        <v>457</v>
      </c>
      <c r="H7" s="122">
        <v>7145</v>
      </c>
      <c r="I7" s="199">
        <v>0</v>
      </c>
      <c r="J7" s="199">
        <v>0</v>
      </c>
      <c r="K7" s="199">
        <v>0</v>
      </c>
      <c r="L7" s="122">
        <v>7145</v>
      </c>
    </row>
    <row r="8" spans="1:12" ht="30" customHeight="1" x14ac:dyDescent="0.2">
      <c r="A8" s="103" t="s">
        <v>589</v>
      </c>
      <c r="B8" s="198" t="s">
        <v>225</v>
      </c>
      <c r="C8" s="37" t="s">
        <v>226</v>
      </c>
      <c r="D8" s="103">
        <v>330</v>
      </c>
      <c r="E8" s="122">
        <v>5781</v>
      </c>
      <c r="F8" s="199">
        <v>0</v>
      </c>
      <c r="G8" s="227" t="s">
        <v>457</v>
      </c>
      <c r="H8" s="122">
        <v>5781</v>
      </c>
      <c r="I8" s="199">
        <v>0</v>
      </c>
      <c r="J8" s="199">
        <v>0</v>
      </c>
      <c r="K8" s="199">
        <v>0</v>
      </c>
      <c r="L8" s="122">
        <v>5781</v>
      </c>
    </row>
    <row r="9" spans="1:12" ht="30" customHeight="1" x14ac:dyDescent="0.2">
      <c r="A9" s="103" t="s">
        <v>589</v>
      </c>
      <c r="B9" s="198" t="s">
        <v>227</v>
      </c>
      <c r="C9" s="37" t="s">
        <v>228</v>
      </c>
      <c r="D9" s="103">
        <v>272</v>
      </c>
      <c r="E9" s="122">
        <v>12692</v>
      </c>
      <c r="F9" s="199">
        <v>0</v>
      </c>
      <c r="G9" s="227" t="s">
        <v>457</v>
      </c>
      <c r="H9" s="122">
        <v>12692</v>
      </c>
      <c r="I9" s="199">
        <v>0</v>
      </c>
      <c r="J9" s="199">
        <v>0</v>
      </c>
      <c r="K9" s="199">
        <v>0</v>
      </c>
      <c r="L9" s="122">
        <v>12692</v>
      </c>
    </row>
    <row r="10" spans="1:12" ht="30.75" customHeight="1" x14ac:dyDescent="0.2">
      <c r="A10" s="103" t="s">
        <v>589</v>
      </c>
      <c r="B10" s="198" t="s">
        <v>229</v>
      </c>
      <c r="C10" s="37" t="s">
        <v>230</v>
      </c>
      <c r="D10" s="103">
        <v>276</v>
      </c>
      <c r="E10" s="122">
        <v>1122</v>
      </c>
      <c r="F10" s="199">
        <v>0</v>
      </c>
      <c r="G10" s="227" t="s">
        <v>457</v>
      </c>
      <c r="H10" s="122">
        <v>1122</v>
      </c>
      <c r="I10" s="199">
        <v>0</v>
      </c>
      <c r="J10" s="199">
        <v>0</v>
      </c>
      <c r="K10" s="199">
        <v>0</v>
      </c>
      <c r="L10" s="122">
        <v>1122</v>
      </c>
    </row>
    <row r="11" spans="1:12" ht="15" customHeight="1" x14ac:dyDescent="0.2">
      <c r="A11" s="103" t="s">
        <v>589</v>
      </c>
      <c r="B11" s="198" t="s">
        <v>231</v>
      </c>
      <c r="C11" s="37" t="s">
        <v>232</v>
      </c>
      <c r="D11" s="103">
        <v>292</v>
      </c>
      <c r="E11" s="122">
        <v>8166</v>
      </c>
      <c r="F11" s="199">
        <v>0</v>
      </c>
      <c r="G11" s="227" t="s">
        <v>457</v>
      </c>
      <c r="H11" s="122">
        <v>8166</v>
      </c>
      <c r="I11" s="199">
        <v>0</v>
      </c>
      <c r="J11" s="199">
        <v>0</v>
      </c>
      <c r="K11" s="199">
        <v>0</v>
      </c>
      <c r="L11" s="122">
        <v>8166</v>
      </c>
    </row>
    <row r="12" spans="1:12" ht="15" customHeight="1" x14ac:dyDescent="0.2">
      <c r="A12" s="103" t="s">
        <v>589</v>
      </c>
      <c r="B12" s="198" t="s">
        <v>233</v>
      </c>
      <c r="C12" s="37" t="s">
        <v>234</v>
      </c>
      <c r="D12" s="103">
        <v>209</v>
      </c>
      <c r="E12" s="122">
        <v>22232</v>
      </c>
      <c r="F12" s="199">
        <v>0</v>
      </c>
      <c r="G12" s="227" t="s">
        <v>457</v>
      </c>
      <c r="H12" s="122">
        <v>22232</v>
      </c>
      <c r="I12" s="199">
        <v>0</v>
      </c>
      <c r="J12" s="199">
        <v>0</v>
      </c>
      <c r="K12" s="199">
        <v>0</v>
      </c>
      <c r="L12" s="122">
        <v>22232</v>
      </c>
    </row>
    <row r="13" spans="1:12" ht="15" customHeight="1" x14ac:dyDescent="0.2">
      <c r="A13" s="103" t="s">
        <v>589</v>
      </c>
      <c r="B13" s="198" t="s">
        <v>235</v>
      </c>
      <c r="C13" s="37" t="s">
        <v>236</v>
      </c>
      <c r="D13" s="103">
        <v>183</v>
      </c>
      <c r="E13" s="122">
        <v>1471</v>
      </c>
      <c r="F13" s="199">
        <v>0</v>
      </c>
      <c r="G13" s="227" t="s">
        <v>457</v>
      </c>
      <c r="H13" s="122">
        <v>1471</v>
      </c>
      <c r="I13" s="199">
        <v>0</v>
      </c>
      <c r="J13" s="199">
        <v>0</v>
      </c>
      <c r="K13" s="199">
        <v>0</v>
      </c>
      <c r="L13" s="122">
        <v>1471</v>
      </c>
    </row>
    <row r="14" spans="1:12" ht="15" customHeight="1" x14ac:dyDescent="0.2">
      <c r="A14" s="103" t="s">
        <v>589</v>
      </c>
      <c r="B14" s="198" t="s">
        <v>237</v>
      </c>
      <c r="C14" s="37" t="s">
        <v>208</v>
      </c>
      <c r="D14" s="103">
        <v>192</v>
      </c>
      <c r="E14" s="122">
        <v>1429</v>
      </c>
      <c r="F14" s="199">
        <v>0</v>
      </c>
      <c r="G14" s="227" t="s">
        <v>457</v>
      </c>
      <c r="H14" s="122">
        <v>1429</v>
      </c>
      <c r="I14" s="199">
        <v>0</v>
      </c>
      <c r="J14" s="199">
        <v>0</v>
      </c>
      <c r="K14" s="199">
        <v>0</v>
      </c>
      <c r="L14" s="122">
        <v>1429</v>
      </c>
    </row>
    <row r="15" spans="1:12" ht="15" customHeight="1" x14ac:dyDescent="0.2">
      <c r="A15" s="103" t="s">
        <v>589</v>
      </c>
      <c r="B15" s="198" t="s">
        <v>238</v>
      </c>
      <c r="C15" s="37" t="s">
        <v>239</v>
      </c>
      <c r="D15" s="103">
        <v>297</v>
      </c>
      <c r="E15" s="122">
        <v>15484</v>
      </c>
      <c r="F15" s="199">
        <v>0</v>
      </c>
      <c r="G15" s="227" t="s">
        <v>457</v>
      </c>
      <c r="H15" s="122">
        <v>15484</v>
      </c>
      <c r="I15" s="199">
        <v>0</v>
      </c>
      <c r="J15" s="199">
        <v>0</v>
      </c>
      <c r="K15" s="199">
        <v>0</v>
      </c>
      <c r="L15" s="122">
        <v>15484</v>
      </c>
    </row>
    <row r="16" spans="1:12" ht="15" customHeight="1" x14ac:dyDescent="0.2">
      <c r="A16" s="103" t="s">
        <v>589</v>
      </c>
      <c r="B16" s="198" t="s">
        <v>240</v>
      </c>
      <c r="C16" s="37" t="s">
        <v>241</v>
      </c>
      <c r="D16" s="103">
        <v>166</v>
      </c>
      <c r="E16" s="122">
        <v>48265</v>
      </c>
      <c r="F16" s="199">
        <v>0</v>
      </c>
      <c r="G16" s="227" t="s">
        <v>457</v>
      </c>
      <c r="H16" s="122">
        <v>48265</v>
      </c>
      <c r="I16" s="199">
        <v>0</v>
      </c>
      <c r="J16" s="199">
        <v>0</v>
      </c>
      <c r="K16" s="199">
        <v>0</v>
      </c>
      <c r="L16" s="122">
        <v>48265</v>
      </c>
    </row>
    <row r="17" spans="1:12" ht="15" customHeight="1" x14ac:dyDescent="0.2">
      <c r="A17" s="103" t="s">
        <v>589</v>
      </c>
      <c r="B17" s="198" t="s">
        <v>242</v>
      </c>
      <c r="C17" s="37" t="s">
        <v>243</v>
      </c>
      <c r="D17" s="103">
        <v>32</v>
      </c>
      <c r="E17" s="122">
        <v>6879</v>
      </c>
      <c r="F17" s="199">
        <v>0</v>
      </c>
      <c r="G17" s="227" t="s">
        <v>457</v>
      </c>
      <c r="H17" s="122">
        <v>6879</v>
      </c>
      <c r="I17" s="199">
        <v>0</v>
      </c>
      <c r="J17" s="199">
        <v>0</v>
      </c>
      <c r="K17" s="199">
        <v>0</v>
      </c>
      <c r="L17" s="122">
        <v>6879</v>
      </c>
    </row>
    <row r="18" spans="1:12" ht="15" customHeight="1" x14ac:dyDescent="0.2">
      <c r="A18" s="103" t="s">
        <v>589</v>
      </c>
      <c r="B18" s="198" t="s">
        <v>244</v>
      </c>
      <c r="C18" s="37" t="s">
        <v>245</v>
      </c>
      <c r="D18" s="103">
        <v>368</v>
      </c>
      <c r="E18" s="122">
        <v>2243</v>
      </c>
      <c r="F18" s="199">
        <v>0</v>
      </c>
      <c r="G18" s="227" t="s">
        <v>457</v>
      </c>
      <c r="H18" s="122">
        <v>2243</v>
      </c>
      <c r="I18" s="199">
        <v>0</v>
      </c>
      <c r="J18" s="199">
        <v>0</v>
      </c>
      <c r="K18" s="199">
        <v>0</v>
      </c>
      <c r="L18" s="122">
        <v>2243</v>
      </c>
    </row>
    <row r="19" spans="1:12" ht="15" customHeight="1" x14ac:dyDescent="0.2">
      <c r="A19" s="103" t="s">
        <v>589</v>
      </c>
      <c r="B19" s="198" t="s">
        <v>246</v>
      </c>
      <c r="C19" s="37" t="s">
        <v>247</v>
      </c>
      <c r="D19" s="103">
        <v>357</v>
      </c>
      <c r="E19" s="122">
        <v>4730</v>
      </c>
      <c r="F19" s="199">
        <v>0</v>
      </c>
      <c r="G19" s="227" t="s">
        <v>457</v>
      </c>
      <c r="H19" s="122">
        <v>4730</v>
      </c>
      <c r="I19" s="199">
        <v>0</v>
      </c>
      <c r="J19" s="199">
        <v>0</v>
      </c>
      <c r="K19" s="199">
        <v>0</v>
      </c>
      <c r="L19" s="122">
        <v>4730</v>
      </c>
    </row>
    <row r="20" spans="1:12" ht="15" customHeight="1" x14ac:dyDescent="0.2">
      <c r="A20" s="103" t="s">
        <v>589</v>
      </c>
      <c r="B20" s="198" t="s">
        <v>248</v>
      </c>
      <c r="C20" s="37" t="s">
        <v>249</v>
      </c>
      <c r="D20" s="103">
        <v>153</v>
      </c>
      <c r="E20" s="122">
        <v>2912</v>
      </c>
      <c r="F20" s="199">
        <v>0</v>
      </c>
      <c r="G20" s="227" t="s">
        <v>457</v>
      </c>
      <c r="H20" s="122">
        <v>2912</v>
      </c>
      <c r="I20" s="199">
        <v>0</v>
      </c>
      <c r="J20" s="199">
        <v>0</v>
      </c>
      <c r="K20" s="199">
        <v>0</v>
      </c>
      <c r="L20" s="122">
        <v>2912</v>
      </c>
    </row>
    <row r="21" spans="1:12" ht="15" customHeight="1" x14ac:dyDescent="0.2">
      <c r="A21" s="103" t="s">
        <v>589</v>
      </c>
      <c r="B21" s="198" t="s">
        <v>250</v>
      </c>
      <c r="C21" s="37" t="s">
        <v>239</v>
      </c>
      <c r="D21" s="103">
        <v>48</v>
      </c>
      <c r="E21" s="122">
        <v>92716</v>
      </c>
      <c r="F21" s="199">
        <v>0</v>
      </c>
      <c r="G21" s="227" t="s">
        <v>457</v>
      </c>
      <c r="H21" s="122">
        <v>92716</v>
      </c>
      <c r="I21" s="199">
        <v>0</v>
      </c>
      <c r="J21" s="199">
        <v>0</v>
      </c>
      <c r="K21" s="199">
        <v>0</v>
      </c>
      <c r="L21" s="122">
        <v>92716</v>
      </c>
    </row>
    <row r="22" spans="1:12" ht="15" customHeight="1" x14ac:dyDescent="0.2">
      <c r="A22" s="103" t="s">
        <v>589</v>
      </c>
      <c r="B22" s="198" t="s">
        <v>251</v>
      </c>
      <c r="C22" s="37" t="s">
        <v>252</v>
      </c>
      <c r="D22" s="103">
        <v>350</v>
      </c>
      <c r="E22" s="122">
        <v>1129</v>
      </c>
      <c r="F22" s="199">
        <v>0</v>
      </c>
      <c r="G22" s="227" t="s">
        <v>457</v>
      </c>
      <c r="H22" s="122">
        <v>1129</v>
      </c>
      <c r="I22" s="199">
        <v>0</v>
      </c>
      <c r="J22" s="199">
        <v>0</v>
      </c>
      <c r="K22" s="199">
        <v>0</v>
      </c>
      <c r="L22" s="122">
        <v>1129</v>
      </c>
    </row>
    <row r="23" spans="1:12" ht="15" customHeight="1" x14ac:dyDescent="0.2">
      <c r="A23" s="103" t="s">
        <v>589</v>
      </c>
      <c r="B23" s="198" t="s">
        <v>372</v>
      </c>
      <c r="C23" s="37" t="s">
        <v>373</v>
      </c>
      <c r="D23" s="103">
        <v>374</v>
      </c>
      <c r="E23" s="122">
        <v>28722</v>
      </c>
      <c r="F23" s="199">
        <v>0</v>
      </c>
      <c r="G23" s="227" t="s">
        <v>457</v>
      </c>
      <c r="H23" s="122">
        <v>28722</v>
      </c>
      <c r="I23" s="199">
        <v>0</v>
      </c>
      <c r="J23" s="199">
        <v>0</v>
      </c>
      <c r="K23" s="199">
        <v>0</v>
      </c>
      <c r="L23" s="122">
        <v>28722</v>
      </c>
    </row>
    <row r="24" spans="1:12" ht="15" customHeight="1" x14ac:dyDescent="0.2">
      <c r="A24" s="103" t="s">
        <v>589</v>
      </c>
      <c r="B24" s="198" t="s">
        <v>253</v>
      </c>
      <c r="C24" s="37" t="s">
        <v>254</v>
      </c>
      <c r="D24" s="103">
        <v>171</v>
      </c>
      <c r="E24" s="122">
        <v>4940</v>
      </c>
      <c r="F24" s="199">
        <v>0</v>
      </c>
      <c r="G24" s="227" t="s">
        <v>457</v>
      </c>
      <c r="H24" s="122">
        <v>4940</v>
      </c>
      <c r="I24" s="199">
        <v>0</v>
      </c>
      <c r="J24" s="199">
        <v>0</v>
      </c>
      <c r="K24" s="199">
        <v>0</v>
      </c>
      <c r="L24" s="122">
        <v>4940</v>
      </c>
    </row>
    <row r="25" spans="1:12" ht="30" customHeight="1" x14ac:dyDescent="0.2">
      <c r="A25" s="103" t="s">
        <v>589</v>
      </c>
      <c r="B25" s="198" t="s">
        <v>255</v>
      </c>
      <c r="C25" s="37" t="s">
        <v>256</v>
      </c>
      <c r="D25" s="103">
        <v>258</v>
      </c>
      <c r="E25" s="122">
        <v>16424</v>
      </c>
      <c r="F25" s="199">
        <v>0</v>
      </c>
      <c r="G25" s="227" t="s">
        <v>457</v>
      </c>
      <c r="H25" s="122">
        <v>16424</v>
      </c>
      <c r="I25" s="199">
        <v>0</v>
      </c>
      <c r="J25" s="199">
        <v>0</v>
      </c>
      <c r="K25" s="199">
        <v>0</v>
      </c>
      <c r="L25" s="122">
        <v>16424</v>
      </c>
    </row>
    <row r="26" spans="1:12" ht="15" customHeight="1" x14ac:dyDescent="0.2">
      <c r="A26" s="103" t="s">
        <v>589</v>
      </c>
      <c r="B26" s="198" t="s">
        <v>257</v>
      </c>
      <c r="C26" s="37" t="s">
        <v>239</v>
      </c>
      <c r="D26" s="103">
        <v>260</v>
      </c>
      <c r="E26" s="122">
        <v>46197</v>
      </c>
      <c r="F26" s="199">
        <v>0</v>
      </c>
      <c r="G26" s="227" t="s">
        <v>457</v>
      </c>
      <c r="H26" s="122">
        <v>46197</v>
      </c>
      <c r="I26" s="199">
        <v>0</v>
      </c>
      <c r="J26" s="199">
        <v>0</v>
      </c>
      <c r="K26" s="199">
        <v>0</v>
      </c>
      <c r="L26" s="122">
        <v>46197</v>
      </c>
    </row>
    <row r="27" spans="1:12" ht="15" customHeight="1" x14ac:dyDescent="0.2">
      <c r="A27" s="103" t="s">
        <v>589</v>
      </c>
      <c r="B27" s="198" t="s">
        <v>258</v>
      </c>
      <c r="C27" s="37" t="s">
        <v>259</v>
      </c>
      <c r="D27" s="103">
        <v>367</v>
      </c>
      <c r="E27" s="122">
        <v>42338</v>
      </c>
      <c r="F27" s="199">
        <v>0</v>
      </c>
      <c r="G27" s="227" t="s">
        <v>457</v>
      </c>
      <c r="H27" s="122">
        <v>42338</v>
      </c>
      <c r="I27" s="199">
        <v>0</v>
      </c>
      <c r="J27" s="199">
        <v>0</v>
      </c>
      <c r="K27" s="199">
        <v>0</v>
      </c>
      <c r="L27" s="122">
        <v>42338</v>
      </c>
    </row>
    <row r="28" spans="1:12" ht="15" customHeight="1" x14ac:dyDescent="0.2">
      <c r="A28" s="103" t="s">
        <v>589</v>
      </c>
      <c r="B28" s="198" t="s">
        <v>260</v>
      </c>
      <c r="C28" s="37" t="s">
        <v>261</v>
      </c>
      <c r="D28" s="103">
        <v>351</v>
      </c>
      <c r="E28" s="122">
        <v>2094</v>
      </c>
      <c r="F28" s="199">
        <v>0</v>
      </c>
      <c r="G28" s="227" t="s">
        <v>457</v>
      </c>
      <c r="H28" s="122">
        <v>2094</v>
      </c>
      <c r="I28" s="199">
        <v>0</v>
      </c>
      <c r="J28" s="199">
        <v>0</v>
      </c>
      <c r="K28" s="199">
        <v>0</v>
      </c>
      <c r="L28" s="122">
        <v>2094</v>
      </c>
    </row>
    <row r="29" spans="1:12" ht="15" customHeight="1" x14ac:dyDescent="0.2">
      <c r="A29" s="202" t="s">
        <v>591</v>
      </c>
      <c r="B29" s="228" t="s">
        <v>457</v>
      </c>
      <c r="C29" s="228" t="s">
        <v>457</v>
      </c>
      <c r="D29" s="228" t="s">
        <v>457</v>
      </c>
      <c r="E29" s="117">
        <f>SUBTOTAL(109,school202021128[Program
Costs])</f>
        <v>423125</v>
      </c>
      <c r="F29" s="204">
        <f>SUBTOTAL(109,school202021128[Less: Net
Payments and 
Offsets 2])</f>
        <v>0</v>
      </c>
      <c r="G29" s="228" t="s">
        <v>457</v>
      </c>
      <c r="H29" s="117">
        <f>SUBTOTAL(109,school202021128[Accounts Payable
Balance])</f>
        <v>423125</v>
      </c>
      <c r="I29" s="204">
        <f>SUBTOTAL(109,school202021128[Established
Accounts Receivable])</f>
        <v>0</v>
      </c>
      <c r="J29" s="204">
        <f>SUBTOTAL(109,school202021128[Less: 
Recovered 
Amount])</f>
        <v>0</v>
      </c>
      <c r="K29" s="204">
        <f>SUBTOTAL(109,school202021128[Accounts Receivable
Balance])</f>
        <v>0</v>
      </c>
      <c r="L29" s="117">
        <f>SUBTOTAL(109,school202021128[Net
Balance])</f>
        <v>423125</v>
      </c>
    </row>
    <row r="30" spans="1:12" ht="15" customHeight="1" x14ac:dyDescent="0.2">
      <c r="A30" s="169" t="s">
        <v>463</v>
      </c>
      <c r="B30" s="198"/>
      <c r="C30" s="37"/>
      <c r="D30" s="103"/>
      <c r="E30" s="122"/>
      <c r="F30" s="122"/>
      <c r="G30" s="122"/>
      <c r="H30" s="122"/>
      <c r="I30" s="122"/>
      <c r="J30" s="122"/>
      <c r="K30" s="122"/>
      <c r="L30" s="122"/>
    </row>
    <row r="31" spans="1:12" ht="50.1" customHeight="1" x14ac:dyDescent="0.25">
      <c r="A31" s="88" t="s">
        <v>1</v>
      </c>
      <c r="B31" s="88" t="s">
        <v>15</v>
      </c>
      <c r="C31" s="88" t="s">
        <v>16</v>
      </c>
      <c r="D31" s="88" t="s">
        <v>454</v>
      </c>
      <c r="E31" s="224" t="s">
        <v>3</v>
      </c>
      <c r="F31" s="293" t="s">
        <v>594</v>
      </c>
      <c r="G31" s="225" t="s">
        <v>466</v>
      </c>
      <c r="H31" s="224" t="s">
        <v>461</v>
      </c>
      <c r="I31" s="226" t="s">
        <v>460</v>
      </c>
      <c r="J31" s="224" t="s">
        <v>459</v>
      </c>
      <c r="K31" s="224" t="s">
        <v>458</v>
      </c>
      <c r="L31" s="224" t="s">
        <v>17</v>
      </c>
    </row>
    <row r="32" spans="1:12" ht="15" customHeight="1" x14ac:dyDescent="0.2">
      <c r="A32" s="103" t="s">
        <v>425</v>
      </c>
      <c r="B32" s="198" t="s">
        <v>217</v>
      </c>
      <c r="C32" s="37" t="s">
        <v>218</v>
      </c>
      <c r="D32" s="103">
        <v>250</v>
      </c>
      <c r="E32" s="122">
        <v>6108</v>
      </c>
      <c r="F32" s="122">
        <v>1000</v>
      </c>
      <c r="G32" s="235" t="s">
        <v>457</v>
      </c>
      <c r="H32" s="122">
        <v>5108</v>
      </c>
      <c r="I32" s="201">
        <v>0</v>
      </c>
      <c r="J32" s="201">
        <v>0</v>
      </c>
      <c r="K32" s="201">
        <v>0</v>
      </c>
      <c r="L32" s="122">
        <v>5108</v>
      </c>
    </row>
    <row r="33" spans="1:12" ht="30" customHeight="1" x14ac:dyDescent="0.2">
      <c r="A33" s="103" t="s">
        <v>425</v>
      </c>
      <c r="B33" s="198" t="s">
        <v>219</v>
      </c>
      <c r="C33" s="37" t="s">
        <v>220</v>
      </c>
      <c r="D33" s="103">
        <v>369</v>
      </c>
      <c r="E33" s="122">
        <v>5946</v>
      </c>
      <c r="F33" s="122">
        <v>1000</v>
      </c>
      <c r="G33" s="235" t="s">
        <v>457</v>
      </c>
      <c r="H33" s="122">
        <v>4946</v>
      </c>
      <c r="I33" s="201">
        <v>0</v>
      </c>
      <c r="J33" s="201">
        <v>0</v>
      </c>
      <c r="K33" s="201">
        <v>0</v>
      </c>
      <c r="L33" s="122">
        <v>4946</v>
      </c>
    </row>
    <row r="34" spans="1:12" ht="30" customHeight="1" x14ac:dyDescent="0.2">
      <c r="A34" s="103" t="s">
        <v>425</v>
      </c>
      <c r="B34" s="198" t="s">
        <v>221</v>
      </c>
      <c r="C34" s="37" t="s">
        <v>222</v>
      </c>
      <c r="D34" s="103">
        <v>172</v>
      </c>
      <c r="E34" s="122">
        <v>1074</v>
      </c>
      <c r="F34" s="122">
        <v>1000</v>
      </c>
      <c r="G34" s="235" t="s">
        <v>457</v>
      </c>
      <c r="H34" s="122">
        <v>74</v>
      </c>
      <c r="I34" s="201">
        <v>0</v>
      </c>
      <c r="J34" s="201">
        <v>0</v>
      </c>
      <c r="K34" s="201">
        <v>0</v>
      </c>
      <c r="L34" s="122">
        <v>74</v>
      </c>
    </row>
    <row r="35" spans="1:12" ht="30" customHeight="1" x14ac:dyDescent="0.2">
      <c r="A35" s="103" t="s">
        <v>425</v>
      </c>
      <c r="B35" s="198" t="s">
        <v>195</v>
      </c>
      <c r="C35" s="37" t="s">
        <v>196</v>
      </c>
      <c r="D35" s="103">
        <v>11</v>
      </c>
      <c r="E35" s="122">
        <v>69874</v>
      </c>
      <c r="F35" s="122">
        <v>1000</v>
      </c>
      <c r="G35" s="235" t="s">
        <v>457</v>
      </c>
      <c r="H35" s="122">
        <v>68874</v>
      </c>
      <c r="I35" s="201">
        <v>0</v>
      </c>
      <c r="J35" s="201">
        <v>0</v>
      </c>
      <c r="K35" s="201">
        <v>0</v>
      </c>
      <c r="L35" s="122">
        <v>68874</v>
      </c>
    </row>
    <row r="36" spans="1:12" ht="15" customHeight="1" x14ac:dyDescent="0.2">
      <c r="A36" s="103" t="s">
        <v>425</v>
      </c>
      <c r="B36" s="198" t="s">
        <v>223</v>
      </c>
      <c r="C36" s="37" t="s">
        <v>224</v>
      </c>
      <c r="D36" s="103">
        <v>313</v>
      </c>
      <c r="E36" s="122">
        <v>13548</v>
      </c>
      <c r="F36" s="122">
        <v>1000</v>
      </c>
      <c r="G36" s="235" t="s">
        <v>457</v>
      </c>
      <c r="H36" s="122">
        <v>12548</v>
      </c>
      <c r="I36" s="201">
        <v>0</v>
      </c>
      <c r="J36" s="201">
        <v>0</v>
      </c>
      <c r="K36" s="201">
        <v>0</v>
      </c>
      <c r="L36" s="122">
        <v>12548</v>
      </c>
    </row>
    <row r="37" spans="1:12" ht="30" customHeight="1" x14ac:dyDescent="0.2">
      <c r="A37" s="103" t="s">
        <v>425</v>
      </c>
      <c r="B37" s="198" t="s">
        <v>227</v>
      </c>
      <c r="C37" s="37" t="s">
        <v>228</v>
      </c>
      <c r="D37" s="103">
        <v>272</v>
      </c>
      <c r="E37" s="122">
        <v>17195</v>
      </c>
      <c r="F37" s="122">
        <v>1000</v>
      </c>
      <c r="G37" s="235" t="s">
        <v>457</v>
      </c>
      <c r="H37" s="122">
        <v>16195</v>
      </c>
      <c r="I37" s="201">
        <v>0</v>
      </c>
      <c r="J37" s="201">
        <v>0</v>
      </c>
      <c r="K37" s="201">
        <v>0</v>
      </c>
      <c r="L37" s="122">
        <v>16195</v>
      </c>
    </row>
    <row r="38" spans="1:12" ht="60" customHeight="1" x14ac:dyDescent="0.2">
      <c r="A38" s="103" t="s">
        <v>425</v>
      </c>
      <c r="B38" s="198" t="s">
        <v>231</v>
      </c>
      <c r="C38" s="37" t="s">
        <v>232</v>
      </c>
      <c r="D38" s="103">
        <v>292</v>
      </c>
      <c r="E38" s="122">
        <v>15031</v>
      </c>
      <c r="F38" s="122">
        <v>1000</v>
      </c>
      <c r="G38" s="235" t="s">
        <v>457</v>
      </c>
      <c r="H38" s="122">
        <v>14031</v>
      </c>
      <c r="I38" s="201">
        <v>0</v>
      </c>
      <c r="J38" s="201">
        <v>0</v>
      </c>
      <c r="K38" s="201">
        <v>0</v>
      </c>
      <c r="L38" s="122">
        <v>14031</v>
      </c>
    </row>
    <row r="39" spans="1:12" ht="30" customHeight="1" x14ac:dyDescent="0.2">
      <c r="A39" s="103" t="s">
        <v>425</v>
      </c>
      <c r="B39" s="198" t="s">
        <v>233</v>
      </c>
      <c r="C39" s="37" t="s">
        <v>234</v>
      </c>
      <c r="D39" s="103">
        <v>209</v>
      </c>
      <c r="E39" s="122">
        <v>30835</v>
      </c>
      <c r="F39" s="122">
        <v>1000</v>
      </c>
      <c r="G39" s="235" t="s">
        <v>457</v>
      </c>
      <c r="H39" s="122">
        <v>29835</v>
      </c>
      <c r="I39" s="201">
        <v>0</v>
      </c>
      <c r="J39" s="201">
        <v>0</v>
      </c>
      <c r="K39" s="201">
        <v>0</v>
      </c>
      <c r="L39" s="122">
        <v>29835</v>
      </c>
    </row>
    <row r="40" spans="1:12" ht="15" customHeight="1" x14ac:dyDescent="0.2">
      <c r="A40" s="103" t="s">
        <v>425</v>
      </c>
      <c r="B40" s="198" t="s">
        <v>235</v>
      </c>
      <c r="C40" s="37" t="s">
        <v>236</v>
      </c>
      <c r="D40" s="103">
        <v>183</v>
      </c>
      <c r="E40" s="122">
        <v>4625</v>
      </c>
      <c r="F40" s="122">
        <v>1000</v>
      </c>
      <c r="G40" s="235" t="s">
        <v>457</v>
      </c>
      <c r="H40" s="122">
        <v>3625</v>
      </c>
      <c r="I40" s="201">
        <v>0</v>
      </c>
      <c r="J40" s="201">
        <v>0</v>
      </c>
      <c r="K40" s="201">
        <v>0</v>
      </c>
      <c r="L40" s="122">
        <v>3625</v>
      </c>
    </row>
    <row r="41" spans="1:12" ht="15" customHeight="1" x14ac:dyDescent="0.2">
      <c r="A41" s="103" t="s">
        <v>425</v>
      </c>
      <c r="B41" s="198" t="s">
        <v>237</v>
      </c>
      <c r="C41" s="37" t="s">
        <v>208</v>
      </c>
      <c r="D41" s="103">
        <v>192</v>
      </c>
      <c r="E41" s="122">
        <v>1617</v>
      </c>
      <c r="F41" s="122">
        <v>1000</v>
      </c>
      <c r="G41" s="235" t="s">
        <v>457</v>
      </c>
      <c r="H41" s="122">
        <v>617</v>
      </c>
      <c r="I41" s="201">
        <v>0</v>
      </c>
      <c r="J41" s="201">
        <v>0</v>
      </c>
      <c r="K41" s="201">
        <v>0</v>
      </c>
      <c r="L41" s="122">
        <v>617</v>
      </c>
    </row>
    <row r="42" spans="1:12" ht="15" customHeight="1" x14ac:dyDescent="0.2">
      <c r="A42" s="103" t="s">
        <v>425</v>
      </c>
      <c r="B42" s="198" t="s">
        <v>238</v>
      </c>
      <c r="C42" s="37" t="s">
        <v>239</v>
      </c>
      <c r="D42" s="103">
        <v>297</v>
      </c>
      <c r="E42" s="122">
        <v>12193</v>
      </c>
      <c r="F42" s="122">
        <v>1000</v>
      </c>
      <c r="G42" s="235" t="s">
        <v>457</v>
      </c>
      <c r="H42" s="122">
        <v>11193</v>
      </c>
      <c r="I42" s="201">
        <v>0</v>
      </c>
      <c r="J42" s="201">
        <v>0</v>
      </c>
      <c r="K42" s="201">
        <v>0</v>
      </c>
      <c r="L42" s="122">
        <v>11193</v>
      </c>
    </row>
    <row r="43" spans="1:12" ht="15" customHeight="1" x14ac:dyDescent="0.2">
      <c r="A43" s="103" t="s">
        <v>425</v>
      </c>
      <c r="B43" s="198" t="s">
        <v>240</v>
      </c>
      <c r="C43" s="37" t="s">
        <v>241</v>
      </c>
      <c r="D43" s="103">
        <v>166</v>
      </c>
      <c r="E43" s="122">
        <v>16225</v>
      </c>
      <c r="F43" s="122">
        <v>1000</v>
      </c>
      <c r="G43" s="235" t="s">
        <v>457</v>
      </c>
      <c r="H43" s="122">
        <v>15225</v>
      </c>
      <c r="I43" s="201">
        <v>0</v>
      </c>
      <c r="J43" s="201">
        <v>0</v>
      </c>
      <c r="K43" s="201">
        <v>0</v>
      </c>
      <c r="L43" s="122">
        <v>15225</v>
      </c>
    </row>
    <row r="44" spans="1:12" ht="15" customHeight="1" x14ac:dyDescent="0.2">
      <c r="A44" s="103" t="s">
        <v>425</v>
      </c>
      <c r="B44" s="198" t="s">
        <v>242</v>
      </c>
      <c r="C44" s="37" t="s">
        <v>243</v>
      </c>
      <c r="D44" s="103">
        <v>32</v>
      </c>
      <c r="E44" s="122">
        <v>7415</v>
      </c>
      <c r="F44" s="122">
        <v>1000</v>
      </c>
      <c r="G44" s="235" t="s">
        <v>457</v>
      </c>
      <c r="H44" s="122">
        <v>6415</v>
      </c>
      <c r="I44" s="201">
        <v>0</v>
      </c>
      <c r="J44" s="201">
        <v>0</v>
      </c>
      <c r="K44" s="201">
        <v>0</v>
      </c>
      <c r="L44" s="122">
        <v>6415</v>
      </c>
    </row>
    <row r="45" spans="1:12" ht="15" customHeight="1" x14ac:dyDescent="0.2">
      <c r="A45" s="103" t="s">
        <v>425</v>
      </c>
      <c r="B45" s="198" t="s">
        <v>244</v>
      </c>
      <c r="C45" s="37" t="s">
        <v>245</v>
      </c>
      <c r="D45" s="103">
        <v>368</v>
      </c>
      <c r="E45" s="122">
        <v>7898</v>
      </c>
      <c r="F45" s="122">
        <v>1000</v>
      </c>
      <c r="G45" s="235" t="s">
        <v>457</v>
      </c>
      <c r="H45" s="122">
        <v>6898</v>
      </c>
      <c r="I45" s="201">
        <v>0</v>
      </c>
      <c r="J45" s="201">
        <v>0</v>
      </c>
      <c r="K45" s="201">
        <v>0</v>
      </c>
      <c r="L45" s="122">
        <v>6898</v>
      </c>
    </row>
    <row r="46" spans="1:12" ht="15" customHeight="1" x14ac:dyDescent="0.2">
      <c r="A46" s="103" t="s">
        <v>425</v>
      </c>
      <c r="B46" s="198" t="s">
        <v>246</v>
      </c>
      <c r="C46" s="37" t="s">
        <v>247</v>
      </c>
      <c r="D46" s="103">
        <v>357</v>
      </c>
      <c r="E46" s="122">
        <v>6448</v>
      </c>
      <c r="F46" s="122">
        <v>1000</v>
      </c>
      <c r="G46" s="235" t="s">
        <v>457</v>
      </c>
      <c r="H46" s="122">
        <v>5448</v>
      </c>
      <c r="I46" s="201">
        <v>0</v>
      </c>
      <c r="J46" s="201">
        <v>0</v>
      </c>
      <c r="K46" s="201">
        <v>0</v>
      </c>
      <c r="L46" s="122">
        <v>5448</v>
      </c>
    </row>
    <row r="47" spans="1:12" ht="15" customHeight="1" x14ac:dyDescent="0.2">
      <c r="A47" s="103" t="s">
        <v>425</v>
      </c>
      <c r="B47" s="198" t="s">
        <v>248</v>
      </c>
      <c r="C47" s="37" t="s">
        <v>249</v>
      </c>
      <c r="D47" s="103">
        <v>153</v>
      </c>
      <c r="E47" s="122">
        <v>2634</v>
      </c>
      <c r="F47" s="122">
        <v>1000</v>
      </c>
      <c r="G47" s="235" t="s">
        <v>457</v>
      </c>
      <c r="H47" s="122">
        <v>1634</v>
      </c>
      <c r="I47" s="201">
        <v>0</v>
      </c>
      <c r="J47" s="201">
        <v>0</v>
      </c>
      <c r="K47" s="201">
        <v>0</v>
      </c>
      <c r="L47" s="122">
        <v>1634</v>
      </c>
    </row>
    <row r="48" spans="1:12" ht="15" customHeight="1" x14ac:dyDescent="0.2">
      <c r="A48" s="103" t="s">
        <v>425</v>
      </c>
      <c r="B48" s="198" t="s">
        <v>250</v>
      </c>
      <c r="C48" s="37" t="s">
        <v>239</v>
      </c>
      <c r="D48" s="103">
        <v>48</v>
      </c>
      <c r="E48" s="122">
        <v>24675</v>
      </c>
      <c r="F48" s="122">
        <v>1000</v>
      </c>
      <c r="G48" s="235" t="s">
        <v>457</v>
      </c>
      <c r="H48" s="122">
        <v>23675</v>
      </c>
      <c r="I48" s="201">
        <v>0</v>
      </c>
      <c r="J48" s="201">
        <v>0</v>
      </c>
      <c r="K48" s="201">
        <v>0</v>
      </c>
      <c r="L48" s="122">
        <v>23675</v>
      </c>
    </row>
    <row r="49" spans="1:12" ht="15" customHeight="1" x14ac:dyDescent="0.2">
      <c r="A49" s="103" t="s">
        <v>425</v>
      </c>
      <c r="B49" s="198" t="s">
        <v>372</v>
      </c>
      <c r="C49" s="37" t="s">
        <v>373</v>
      </c>
      <c r="D49" s="103">
        <v>374</v>
      </c>
      <c r="E49" s="122">
        <v>99676</v>
      </c>
      <c r="F49" s="122">
        <v>1000</v>
      </c>
      <c r="G49" s="235" t="s">
        <v>457</v>
      </c>
      <c r="H49" s="122">
        <v>98676</v>
      </c>
      <c r="I49" s="201">
        <v>0</v>
      </c>
      <c r="J49" s="201">
        <v>0</v>
      </c>
      <c r="K49" s="201">
        <v>0</v>
      </c>
      <c r="L49" s="122">
        <v>98676</v>
      </c>
    </row>
    <row r="50" spans="1:12" ht="15" customHeight="1" x14ac:dyDescent="0.2">
      <c r="A50" s="103" t="s">
        <v>425</v>
      </c>
      <c r="B50" s="198" t="s">
        <v>253</v>
      </c>
      <c r="C50" s="37" t="s">
        <v>254</v>
      </c>
      <c r="D50" s="103">
        <v>171</v>
      </c>
      <c r="E50" s="122">
        <v>6401</v>
      </c>
      <c r="F50" s="122">
        <v>1000</v>
      </c>
      <c r="G50" s="235" t="s">
        <v>457</v>
      </c>
      <c r="H50" s="122">
        <v>5401</v>
      </c>
      <c r="I50" s="201">
        <v>0</v>
      </c>
      <c r="J50" s="201">
        <v>0</v>
      </c>
      <c r="K50" s="201">
        <v>0</v>
      </c>
      <c r="L50" s="122">
        <v>5401</v>
      </c>
    </row>
    <row r="51" spans="1:12" ht="30" customHeight="1" x14ac:dyDescent="0.2">
      <c r="A51" s="103" t="s">
        <v>425</v>
      </c>
      <c r="B51" s="198" t="s">
        <v>255</v>
      </c>
      <c r="C51" s="37" t="s">
        <v>256</v>
      </c>
      <c r="D51" s="103">
        <v>258</v>
      </c>
      <c r="E51" s="122">
        <v>25763</v>
      </c>
      <c r="F51" s="122">
        <v>1000</v>
      </c>
      <c r="G51" s="235" t="s">
        <v>457</v>
      </c>
      <c r="H51" s="122">
        <v>24763</v>
      </c>
      <c r="I51" s="201">
        <v>0</v>
      </c>
      <c r="J51" s="201">
        <v>0</v>
      </c>
      <c r="K51" s="201">
        <v>0</v>
      </c>
      <c r="L51" s="122">
        <v>24763</v>
      </c>
    </row>
    <row r="52" spans="1:12" ht="15" customHeight="1" x14ac:dyDescent="0.2">
      <c r="A52" s="103" t="s">
        <v>425</v>
      </c>
      <c r="B52" s="198" t="s">
        <v>257</v>
      </c>
      <c r="C52" s="37" t="s">
        <v>239</v>
      </c>
      <c r="D52" s="103">
        <v>260</v>
      </c>
      <c r="E52" s="122">
        <v>83397</v>
      </c>
      <c r="F52" s="122">
        <v>1000</v>
      </c>
      <c r="G52" s="235" t="s">
        <v>457</v>
      </c>
      <c r="H52" s="122">
        <v>82397</v>
      </c>
      <c r="I52" s="201">
        <v>0</v>
      </c>
      <c r="J52" s="201">
        <v>0</v>
      </c>
      <c r="K52" s="201">
        <v>0</v>
      </c>
      <c r="L52" s="122">
        <v>82397</v>
      </c>
    </row>
    <row r="53" spans="1:12" ht="15" customHeight="1" x14ac:dyDescent="0.2">
      <c r="A53" s="103" t="s">
        <v>425</v>
      </c>
      <c r="B53" s="198" t="s">
        <v>258</v>
      </c>
      <c r="C53" s="37" t="s">
        <v>259</v>
      </c>
      <c r="D53" s="103">
        <v>367</v>
      </c>
      <c r="E53" s="122">
        <v>87340</v>
      </c>
      <c r="F53" s="122">
        <v>1000</v>
      </c>
      <c r="G53" s="235" t="s">
        <v>457</v>
      </c>
      <c r="H53" s="122">
        <v>86340</v>
      </c>
      <c r="I53" s="201">
        <v>0</v>
      </c>
      <c r="J53" s="201">
        <v>0</v>
      </c>
      <c r="K53" s="201">
        <v>0</v>
      </c>
      <c r="L53" s="122">
        <v>86340</v>
      </c>
    </row>
    <row r="54" spans="1:12" ht="15" customHeight="1" x14ac:dyDescent="0.2">
      <c r="A54" s="103" t="s">
        <v>425</v>
      </c>
      <c r="B54" s="198" t="s">
        <v>260</v>
      </c>
      <c r="C54" s="37" t="s">
        <v>261</v>
      </c>
      <c r="D54" s="103">
        <v>351</v>
      </c>
      <c r="E54" s="122">
        <v>3404</v>
      </c>
      <c r="F54" s="122">
        <v>1000</v>
      </c>
      <c r="G54" s="235" t="s">
        <v>457</v>
      </c>
      <c r="H54" s="122">
        <v>2404</v>
      </c>
      <c r="I54" s="201">
        <v>0</v>
      </c>
      <c r="J54" s="201">
        <v>0</v>
      </c>
      <c r="K54" s="201">
        <v>0</v>
      </c>
      <c r="L54" s="122">
        <v>2404</v>
      </c>
    </row>
    <row r="55" spans="1:12" ht="15" customHeight="1" x14ac:dyDescent="0.2">
      <c r="A55" s="202" t="s">
        <v>426</v>
      </c>
      <c r="B55" s="228" t="s">
        <v>457</v>
      </c>
      <c r="C55" s="228" t="s">
        <v>457</v>
      </c>
      <c r="D55" s="228" t="s">
        <v>457</v>
      </c>
      <c r="E55" s="117">
        <f>SUBTOTAL(109,school202021[Program
Costs])</f>
        <v>549322</v>
      </c>
      <c r="F55" s="204">
        <f>SUBTOTAL(109,school202021[Less: Net
Payments and 
Offsets 2])</f>
        <v>23000</v>
      </c>
      <c r="G55" s="228" t="s">
        <v>457</v>
      </c>
      <c r="H55" s="117">
        <f>SUBTOTAL(109,school202021[Accounts Payable
Balance])</f>
        <v>526322</v>
      </c>
      <c r="I55" s="204">
        <f>SUBTOTAL(109,school202021[Established
Accounts Receivable])</f>
        <v>0</v>
      </c>
      <c r="J55" s="204">
        <f>SUBTOTAL(109,school202021[Less: 
Recovered 
Amount])</f>
        <v>0</v>
      </c>
      <c r="K55" s="204">
        <f>SUBTOTAL(109,school202021[Accounts Receivable
Balance])</f>
        <v>0</v>
      </c>
      <c r="L55" s="117">
        <f>SUBTOTAL(109,school202021[Net
Balance])</f>
        <v>526322</v>
      </c>
    </row>
    <row r="56" spans="1:12" s="229" customFormat="1" ht="15" customHeight="1" x14ac:dyDescent="0.2">
      <c r="A56" s="169" t="s">
        <v>463</v>
      </c>
      <c r="B56" s="198"/>
      <c r="C56" s="37"/>
      <c r="D56" s="103"/>
      <c r="E56" s="122"/>
      <c r="F56" s="122"/>
      <c r="G56" s="122"/>
      <c r="H56" s="122"/>
      <c r="I56" s="122"/>
      <c r="J56" s="122"/>
      <c r="K56" s="122"/>
      <c r="L56" s="122"/>
    </row>
    <row r="57" spans="1:12" ht="50.1" customHeight="1" x14ac:dyDescent="0.2">
      <c r="A57" s="40" t="s">
        <v>1</v>
      </c>
      <c r="B57" s="40" t="s">
        <v>15</v>
      </c>
      <c r="C57" s="40" t="s">
        <v>16</v>
      </c>
      <c r="D57" s="40" t="s">
        <v>454</v>
      </c>
      <c r="E57" s="230" t="s">
        <v>3</v>
      </c>
      <c r="F57" s="231" t="s">
        <v>592</v>
      </c>
      <c r="G57" s="232" t="s">
        <v>462</v>
      </c>
      <c r="H57" s="230" t="s">
        <v>461</v>
      </c>
      <c r="I57" s="197" t="s">
        <v>460</v>
      </c>
      <c r="J57" s="230" t="s">
        <v>459</v>
      </c>
      <c r="K57" s="230" t="s">
        <v>458</v>
      </c>
      <c r="L57" s="230" t="s">
        <v>17</v>
      </c>
    </row>
    <row r="58" spans="1:12" ht="15" customHeight="1" x14ac:dyDescent="0.2">
      <c r="A58" s="103" t="s">
        <v>18</v>
      </c>
      <c r="B58" s="198" t="s">
        <v>217</v>
      </c>
      <c r="C58" s="37" t="s">
        <v>218</v>
      </c>
      <c r="D58" s="103">
        <v>250</v>
      </c>
      <c r="E58" s="122">
        <v>7166</v>
      </c>
      <c r="F58" s="122">
        <v>1000</v>
      </c>
      <c r="G58" s="235" t="s">
        <v>457</v>
      </c>
      <c r="H58" s="122">
        <v>6166</v>
      </c>
      <c r="I58" s="201">
        <v>0</v>
      </c>
      <c r="J58" s="201">
        <v>0</v>
      </c>
      <c r="K58" s="201">
        <v>0</v>
      </c>
      <c r="L58" s="122">
        <v>6166</v>
      </c>
    </row>
    <row r="59" spans="1:12" ht="30" customHeight="1" x14ac:dyDescent="0.2">
      <c r="A59" s="103" t="s">
        <v>18</v>
      </c>
      <c r="B59" s="198" t="s">
        <v>219</v>
      </c>
      <c r="C59" s="37" t="s">
        <v>220</v>
      </c>
      <c r="D59" s="103">
        <v>369</v>
      </c>
      <c r="E59" s="122">
        <v>8376</v>
      </c>
      <c r="F59" s="122">
        <v>1000</v>
      </c>
      <c r="G59" s="235" t="s">
        <v>457</v>
      </c>
      <c r="H59" s="122">
        <v>7376</v>
      </c>
      <c r="I59" s="201">
        <v>0</v>
      </c>
      <c r="J59" s="201">
        <v>0</v>
      </c>
      <c r="K59" s="201">
        <v>0</v>
      </c>
      <c r="L59" s="122">
        <v>7376</v>
      </c>
    </row>
    <row r="60" spans="1:12" ht="30" customHeight="1" x14ac:dyDescent="0.2">
      <c r="A60" s="103" t="s">
        <v>18</v>
      </c>
      <c r="B60" s="198" t="s">
        <v>221</v>
      </c>
      <c r="C60" s="37" t="s">
        <v>222</v>
      </c>
      <c r="D60" s="103">
        <v>172</v>
      </c>
      <c r="E60" s="122">
        <v>1202</v>
      </c>
      <c r="F60" s="122">
        <v>1000</v>
      </c>
      <c r="G60" s="235" t="s">
        <v>457</v>
      </c>
      <c r="H60" s="122">
        <v>202</v>
      </c>
      <c r="I60" s="201">
        <v>0</v>
      </c>
      <c r="J60" s="201">
        <v>0</v>
      </c>
      <c r="K60" s="201">
        <v>0</v>
      </c>
      <c r="L60" s="122">
        <v>202</v>
      </c>
    </row>
    <row r="61" spans="1:12" ht="30" customHeight="1" x14ac:dyDescent="0.2">
      <c r="A61" s="103" t="s">
        <v>18</v>
      </c>
      <c r="B61" s="198" t="s">
        <v>195</v>
      </c>
      <c r="C61" s="37" t="s">
        <v>196</v>
      </c>
      <c r="D61" s="103">
        <v>11</v>
      </c>
      <c r="E61" s="122">
        <v>27854</v>
      </c>
      <c r="F61" s="122">
        <v>1000</v>
      </c>
      <c r="G61" s="235" t="s">
        <v>457</v>
      </c>
      <c r="H61" s="122">
        <v>26854</v>
      </c>
      <c r="I61" s="201">
        <v>0</v>
      </c>
      <c r="J61" s="201">
        <v>0</v>
      </c>
      <c r="K61" s="201">
        <v>0</v>
      </c>
      <c r="L61" s="122">
        <v>26854</v>
      </c>
    </row>
    <row r="62" spans="1:12" ht="15" customHeight="1" x14ac:dyDescent="0.2">
      <c r="A62" s="103" t="s">
        <v>18</v>
      </c>
      <c r="B62" s="198" t="s">
        <v>223</v>
      </c>
      <c r="C62" s="37" t="s">
        <v>224</v>
      </c>
      <c r="D62" s="103">
        <v>313</v>
      </c>
      <c r="E62" s="122">
        <v>14450</v>
      </c>
      <c r="F62" s="122">
        <v>1000</v>
      </c>
      <c r="G62" s="235" t="s">
        <v>457</v>
      </c>
      <c r="H62" s="122">
        <v>13450</v>
      </c>
      <c r="I62" s="201">
        <v>0</v>
      </c>
      <c r="J62" s="201">
        <v>0</v>
      </c>
      <c r="K62" s="201">
        <v>0</v>
      </c>
      <c r="L62" s="122">
        <v>13450</v>
      </c>
    </row>
    <row r="63" spans="1:12" ht="30" customHeight="1" x14ac:dyDescent="0.2">
      <c r="A63" s="103" t="s">
        <v>18</v>
      </c>
      <c r="B63" s="198" t="s">
        <v>225</v>
      </c>
      <c r="C63" s="37" t="s">
        <v>226</v>
      </c>
      <c r="D63" s="103">
        <v>330</v>
      </c>
      <c r="E63" s="122">
        <v>21004</v>
      </c>
      <c r="F63" s="122">
        <v>1000</v>
      </c>
      <c r="G63" s="235" t="s">
        <v>457</v>
      </c>
      <c r="H63" s="122">
        <v>20004</v>
      </c>
      <c r="I63" s="201">
        <v>0</v>
      </c>
      <c r="J63" s="201">
        <v>0</v>
      </c>
      <c r="K63" s="201">
        <v>0</v>
      </c>
      <c r="L63" s="122">
        <v>20004</v>
      </c>
    </row>
    <row r="64" spans="1:12" ht="30" customHeight="1" x14ac:dyDescent="0.2">
      <c r="A64" s="103" t="s">
        <v>18</v>
      </c>
      <c r="B64" s="198" t="s">
        <v>227</v>
      </c>
      <c r="C64" s="37" t="s">
        <v>228</v>
      </c>
      <c r="D64" s="103">
        <v>272</v>
      </c>
      <c r="E64" s="122">
        <v>25757</v>
      </c>
      <c r="F64" s="122">
        <v>1000</v>
      </c>
      <c r="G64" s="235" t="s">
        <v>457</v>
      </c>
      <c r="H64" s="122">
        <v>24757</v>
      </c>
      <c r="I64" s="201">
        <v>0</v>
      </c>
      <c r="J64" s="201">
        <v>0</v>
      </c>
      <c r="K64" s="201">
        <v>0</v>
      </c>
      <c r="L64" s="122">
        <v>24757</v>
      </c>
    </row>
    <row r="65" spans="1:12" ht="30" customHeight="1" x14ac:dyDescent="0.2">
      <c r="A65" s="103" t="s">
        <v>18</v>
      </c>
      <c r="B65" s="198" t="s">
        <v>229</v>
      </c>
      <c r="C65" s="37" t="s">
        <v>230</v>
      </c>
      <c r="D65" s="103">
        <v>276</v>
      </c>
      <c r="E65" s="122">
        <v>7997</v>
      </c>
      <c r="F65" s="122">
        <v>1000</v>
      </c>
      <c r="G65" s="235" t="s">
        <v>457</v>
      </c>
      <c r="H65" s="122">
        <v>6997</v>
      </c>
      <c r="I65" s="201">
        <v>0</v>
      </c>
      <c r="J65" s="201">
        <v>0</v>
      </c>
      <c r="K65" s="201">
        <v>0</v>
      </c>
      <c r="L65" s="122">
        <v>6997</v>
      </c>
    </row>
    <row r="66" spans="1:12" ht="60" x14ac:dyDescent="0.2">
      <c r="A66" s="103" t="s">
        <v>18</v>
      </c>
      <c r="B66" s="198" t="s">
        <v>231</v>
      </c>
      <c r="C66" s="37" t="s">
        <v>232</v>
      </c>
      <c r="D66" s="103">
        <v>292</v>
      </c>
      <c r="E66" s="122">
        <v>33163</v>
      </c>
      <c r="F66" s="122">
        <v>1000</v>
      </c>
      <c r="G66" s="235" t="s">
        <v>457</v>
      </c>
      <c r="H66" s="122">
        <v>32163</v>
      </c>
      <c r="I66" s="201">
        <v>0</v>
      </c>
      <c r="J66" s="201">
        <v>0</v>
      </c>
      <c r="K66" s="201">
        <v>0</v>
      </c>
      <c r="L66" s="122">
        <v>32163</v>
      </c>
    </row>
    <row r="67" spans="1:12" ht="30" customHeight="1" x14ac:dyDescent="0.2">
      <c r="A67" s="103" t="s">
        <v>18</v>
      </c>
      <c r="B67" s="198" t="s">
        <v>233</v>
      </c>
      <c r="C67" s="37" t="s">
        <v>234</v>
      </c>
      <c r="D67" s="103">
        <v>209</v>
      </c>
      <c r="E67" s="122">
        <v>35550</v>
      </c>
      <c r="F67" s="122">
        <v>1000</v>
      </c>
      <c r="G67" s="235" t="s">
        <v>457</v>
      </c>
      <c r="H67" s="122">
        <v>34550</v>
      </c>
      <c r="I67" s="201">
        <v>0</v>
      </c>
      <c r="J67" s="201">
        <v>0</v>
      </c>
      <c r="K67" s="201">
        <v>0</v>
      </c>
      <c r="L67" s="122">
        <v>34550</v>
      </c>
    </row>
    <row r="68" spans="1:12" ht="15" customHeight="1" x14ac:dyDescent="0.2">
      <c r="A68" s="103" t="s">
        <v>18</v>
      </c>
      <c r="B68" s="198" t="s">
        <v>235</v>
      </c>
      <c r="C68" s="37" t="s">
        <v>236</v>
      </c>
      <c r="D68" s="103">
        <v>183</v>
      </c>
      <c r="E68" s="122">
        <v>3443</v>
      </c>
      <c r="F68" s="122">
        <v>1000</v>
      </c>
      <c r="G68" s="235" t="s">
        <v>457</v>
      </c>
      <c r="H68" s="122">
        <v>2443</v>
      </c>
      <c r="I68" s="201">
        <v>0</v>
      </c>
      <c r="J68" s="201">
        <v>0</v>
      </c>
      <c r="K68" s="201">
        <v>0</v>
      </c>
      <c r="L68" s="122">
        <v>2443</v>
      </c>
    </row>
    <row r="69" spans="1:12" ht="15" customHeight="1" x14ac:dyDescent="0.2">
      <c r="A69" s="103" t="s">
        <v>18</v>
      </c>
      <c r="B69" s="198" t="s">
        <v>237</v>
      </c>
      <c r="C69" s="37" t="s">
        <v>208</v>
      </c>
      <c r="D69" s="103">
        <v>192</v>
      </c>
      <c r="E69" s="122">
        <v>4921</v>
      </c>
      <c r="F69" s="122">
        <v>1000</v>
      </c>
      <c r="G69" s="235" t="s">
        <v>457</v>
      </c>
      <c r="H69" s="122">
        <v>3921</v>
      </c>
      <c r="I69" s="201">
        <v>0</v>
      </c>
      <c r="J69" s="201">
        <v>0</v>
      </c>
      <c r="K69" s="201">
        <v>0</v>
      </c>
      <c r="L69" s="122">
        <v>3921</v>
      </c>
    </row>
    <row r="70" spans="1:12" ht="15" customHeight="1" x14ac:dyDescent="0.2">
      <c r="A70" s="103" t="s">
        <v>18</v>
      </c>
      <c r="B70" s="198" t="s">
        <v>238</v>
      </c>
      <c r="C70" s="37" t="s">
        <v>239</v>
      </c>
      <c r="D70" s="103">
        <v>297</v>
      </c>
      <c r="E70" s="122">
        <v>600494</v>
      </c>
      <c r="F70" s="122">
        <v>1000</v>
      </c>
      <c r="G70" s="235" t="s">
        <v>457</v>
      </c>
      <c r="H70" s="122">
        <v>599494</v>
      </c>
      <c r="I70" s="201">
        <v>0</v>
      </c>
      <c r="J70" s="201">
        <v>0</v>
      </c>
      <c r="K70" s="201">
        <v>0</v>
      </c>
      <c r="L70" s="122">
        <v>599494</v>
      </c>
    </row>
    <row r="71" spans="1:12" ht="15" customHeight="1" x14ac:dyDescent="0.2">
      <c r="A71" s="103" t="s">
        <v>18</v>
      </c>
      <c r="B71" s="198" t="s">
        <v>240</v>
      </c>
      <c r="C71" s="37" t="s">
        <v>241</v>
      </c>
      <c r="D71" s="103">
        <v>166</v>
      </c>
      <c r="E71" s="122">
        <v>47272</v>
      </c>
      <c r="F71" s="122">
        <v>1000</v>
      </c>
      <c r="G71" s="235" t="s">
        <v>457</v>
      </c>
      <c r="H71" s="122">
        <v>46272</v>
      </c>
      <c r="I71" s="201">
        <v>0</v>
      </c>
      <c r="J71" s="201">
        <v>0</v>
      </c>
      <c r="K71" s="201">
        <v>0</v>
      </c>
      <c r="L71" s="122">
        <v>46272</v>
      </c>
    </row>
    <row r="72" spans="1:12" ht="15" customHeight="1" x14ac:dyDescent="0.2">
      <c r="A72" s="103" t="s">
        <v>18</v>
      </c>
      <c r="B72" s="198" t="s">
        <v>242</v>
      </c>
      <c r="C72" s="37" t="s">
        <v>243</v>
      </c>
      <c r="D72" s="103">
        <v>32</v>
      </c>
      <c r="E72" s="122">
        <v>7722</v>
      </c>
      <c r="F72" s="122">
        <v>1000</v>
      </c>
      <c r="G72" s="235" t="s">
        <v>457</v>
      </c>
      <c r="H72" s="122">
        <v>6722</v>
      </c>
      <c r="I72" s="201">
        <v>0</v>
      </c>
      <c r="J72" s="201">
        <v>0</v>
      </c>
      <c r="K72" s="201">
        <v>0</v>
      </c>
      <c r="L72" s="122">
        <v>6722</v>
      </c>
    </row>
    <row r="73" spans="1:12" ht="15" customHeight="1" x14ac:dyDescent="0.2">
      <c r="A73" s="103" t="s">
        <v>18</v>
      </c>
      <c r="B73" s="198" t="s">
        <v>244</v>
      </c>
      <c r="C73" s="37" t="s">
        <v>245</v>
      </c>
      <c r="D73" s="103">
        <v>368</v>
      </c>
      <c r="E73" s="122">
        <v>11813</v>
      </c>
      <c r="F73" s="122">
        <v>1000</v>
      </c>
      <c r="G73" s="235" t="s">
        <v>457</v>
      </c>
      <c r="H73" s="122">
        <v>10813</v>
      </c>
      <c r="I73" s="201">
        <v>0</v>
      </c>
      <c r="J73" s="201">
        <v>0</v>
      </c>
      <c r="K73" s="201">
        <v>0</v>
      </c>
      <c r="L73" s="122">
        <v>10813</v>
      </c>
    </row>
    <row r="74" spans="1:12" ht="15" customHeight="1" x14ac:dyDescent="0.2">
      <c r="A74" s="103" t="s">
        <v>18</v>
      </c>
      <c r="B74" s="198" t="s">
        <v>246</v>
      </c>
      <c r="C74" s="37" t="s">
        <v>247</v>
      </c>
      <c r="D74" s="103">
        <v>357</v>
      </c>
      <c r="E74" s="122">
        <v>6108</v>
      </c>
      <c r="F74" s="122">
        <v>1000</v>
      </c>
      <c r="G74" s="235" t="s">
        <v>457</v>
      </c>
      <c r="H74" s="122">
        <v>5108</v>
      </c>
      <c r="I74" s="201">
        <v>0</v>
      </c>
      <c r="J74" s="201">
        <v>0</v>
      </c>
      <c r="K74" s="201">
        <v>0</v>
      </c>
      <c r="L74" s="122">
        <v>5108</v>
      </c>
    </row>
    <row r="75" spans="1:12" ht="15" customHeight="1" x14ac:dyDescent="0.2">
      <c r="A75" s="103" t="s">
        <v>18</v>
      </c>
      <c r="B75" s="198" t="s">
        <v>248</v>
      </c>
      <c r="C75" s="37" t="s">
        <v>249</v>
      </c>
      <c r="D75" s="103">
        <v>153</v>
      </c>
      <c r="E75" s="122">
        <v>8974</v>
      </c>
      <c r="F75" s="122">
        <v>1000</v>
      </c>
      <c r="G75" s="235" t="s">
        <v>457</v>
      </c>
      <c r="H75" s="122">
        <v>7974</v>
      </c>
      <c r="I75" s="201">
        <v>0</v>
      </c>
      <c r="J75" s="201">
        <v>0</v>
      </c>
      <c r="K75" s="201">
        <v>0</v>
      </c>
      <c r="L75" s="122">
        <v>7974</v>
      </c>
    </row>
    <row r="76" spans="1:12" ht="15" customHeight="1" x14ac:dyDescent="0.2">
      <c r="A76" s="103" t="s">
        <v>18</v>
      </c>
      <c r="B76" s="198" t="s">
        <v>250</v>
      </c>
      <c r="C76" s="37" t="s">
        <v>239</v>
      </c>
      <c r="D76" s="103">
        <v>48</v>
      </c>
      <c r="E76" s="122">
        <v>74680</v>
      </c>
      <c r="F76" s="122">
        <v>1000</v>
      </c>
      <c r="G76" s="235" t="s">
        <v>457</v>
      </c>
      <c r="H76" s="122">
        <v>73680</v>
      </c>
      <c r="I76" s="201">
        <v>0</v>
      </c>
      <c r="J76" s="201">
        <v>0</v>
      </c>
      <c r="K76" s="201">
        <v>0</v>
      </c>
      <c r="L76" s="122">
        <v>73680</v>
      </c>
    </row>
    <row r="77" spans="1:12" ht="15" customHeight="1" x14ac:dyDescent="0.2">
      <c r="A77" s="103" t="s">
        <v>18</v>
      </c>
      <c r="B77" s="198" t="s">
        <v>251</v>
      </c>
      <c r="C77" s="37" t="s">
        <v>252</v>
      </c>
      <c r="D77" s="103">
        <v>350</v>
      </c>
      <c r="E77" s="122">
        <v>2007</v>
      </c>
      <c r="F77" s="122">
        <v>1000</v>
      </c>
      <c r="G77" s="235" t="s">
        <v>457</v>
      </c>
      <c r="H77" s="122">
        <v>1007</v>
      </c>
      <c r="I77" s="201">
        <v>0</v>
      </c>
      <c r="J77" s="201">
        <v>0</v>
      </c>
      <c r="K77" s="201">
        <v>0</v>
      </c>
      <c r="L77" s="122">
        <v>1007</v>
      </c>
    </row>
    <row r="78" spans="1:12" ht="15" customHeight="1" x14ac:dyDescent="0.2">
      <c r="A78" s="103" t="s">
        <v>18</v>
      </c>
      <c r="B78" s="198" t="s">
        <v>372</v>
      </c>
      <c r="C78" s="37" t="s">
        <v>373</v>
      </c>
      <c r="D78" s="103">
        <v>374</v>
      </c>
      <c r="E78" s="122">
        <v>310292</v>
      </c>
      <c r="F78" s="122">
        <v>1000</v>
      </c>
      <c r="G78" s="235" t="s">
        <v>457</v>
      </c>
      <c r="H78" s="122">
        <v>309292</v>
      </c>
      <c r="I78" s="201">
        <v>0</v>
      </c>
      <c r="J78" s="201">
        <v>0</v>
      </c>
      <c r="K78" s="201">
        <v>0</v>
      </c>
      <c r="L78" s="122">
        <v>309292</v>
      </c>
    </row>
    <row r="79" spans="1:12" ht="15" customHeight="1" x14ac:dyDescent="0.2">
      <c r="A79" s="103" t="s">
        <v>18</v>
      </c>
      <c r="B79" s="198" t="s">
        <v>253</v>
      </c>
      <c r="C79" s="37" t="s">
        <v>254</v>
      </c>
      <c r="D79" s="103">
        <v>171</v>
      </c>
      <c r="E79" s="122">
        <v>11486</v>
      </c>
      <c r="F79" s="122">
        <v>1000</v>
      </c>
      <c r="G79" s="235" t="s">
        <v>457</v>
      </c>
      <c r="H79" s="122">
        <v>10486</v>
      </c>
      <c r="I79" s="201">
        <v>0</v>
      </c>
      <c r="J79" s="201">
        <v>0</v>
      </c>
      <c r="K79" s="201">
        <v>0</v>
      </c>
      <c r="L79" s="122">
        <v>10486</v>
      </c>
    </row>
    <row r="80" spans="1:12" ht="30" customHeight="1" x14ac:dyDescent="0.2">
      <c r="A80" s="103" t="s">
        <v>18</v>
      </c>
      <c r="B80" s="198" t="s">
        <v>255</v>
      </c>
      <c r="C80" s="37" t="s">
        <v>256</v>
      </c>
      <c r="D80" s="103">
        <v>258</v>
      </c>
      <c r="E80" s="122">
        <v>27399</v>
      </c>
      <c r="F80" s="122">
        <v>1000</v>
      </c>
      <c r="G80" s="235" t="s">
        <v>457</v>
      </c>
      <c r="H80" s="122">
        <v>26399</v>
      </c>
      <c r="I80" s="201">
        <v>0</v>
      </c>
      <c r="J80" s="201">
        <v>0</v>
      </c>
      <c r="K80" s="201">
        <v>0</v>
      </c>
      <c r="L80" s="122">
        <v>26399</v>
      </c>
    </row>
    <row r="81" spans="1:12" ht="15" customHeight="1" x14ac:dyDescent="0.2">
      <c r="A81" s="103" t="s">
        <v>18</v>
      </c>
      <c r="B81" s="198" t="s">
        <v>257</v>
      </c>
      <c r="C81" s="37" t="s">
        <v>239</v>
      </c>
      <c r="D81" s="103">
        <v>260</v>
      </c>
      <c r="E81" s="122">
        <v>78666</v>
      </c>
      <c r="F81" s="122">
        <v>1000</v>
      </c>
      <c r="G81" s="235" t="s">
        <v>457</v>
      </c>
      <c r="H81" s="122">
        <v>77666</v>
      </c>
      <c r="I81" s="201">
        <v>0</v>
      </c>
      <c r="J81" s="201">
        <v>0</v>
      </c>
      <c r="K81" s="201">
        <v>0</v>
      </c>
      <c r="L81" s="122">
        <v>77666</v>
      </c>
    </row>
    <row r="82" spans="1:12" ht="15" customHeight="1" x14ac:dyDescent="0.2">
      <c r="A82" s="103" t="s">
        <v>18</v>
      </c>
      <c r="B82" s="198" t="s">
        <v>258</v>
      </c>
      <c r="C82" s="37" t="s">
        <v>259</v>
      </c>
      <c r="D82" s="103">
        <v>367</v>
      </c>
      <c r="E82" s="122">
        <v>114612</v>
      </c>
      <c r="F82" s="122">
        <v>1000</v>
      </c>
      <c r="G82" s="235" t="s">
        <v>457</v>
      </c>
      <c r="H82" s="122">
        <v>113612</v>
      </c>
      <c r="I82" s="201">
        <v>0</v>
      </c>
      <c r="J82" s="201">
        <v>0</v>
      </c>
      <c r="K82" s="201">
        <v>0</v>
      </c>
      <c r="L82" s="122">
        <v>113612</v>
      </c>
    </row>
    <row r="83" spans="1:12" ht="15" customHeight="1" x14ac:dyDescent="0.2">
      <c r="A83" s="103" t="s">
        <v>18</v>
      </c>
      <c r="B83" s="198" t="s">
        <v>260</v>
      </c>
      <c r="C83" s="37" t="s">
        <v>261</v>
      </c>
      <c r="D83" s="103">
        <v>351</v>
      </c>
      <c r="E83" s="122">
        <v>1447</v>
      </c>
      <c r="F83" s="122">
        <v>1000</v>
      </c>
      <c r="G83" s="235" t="s">
        <v>457</v>
      </c>
      <c r="H83" s="122">
        <v>447</v>
      </c>
      <c r="I83" s="201">
        <v>0</v>
      </c>
      <c r="J83" s="201">
        <v>0</v>
      </c>
      <c r="K83" s="201">
        <v>0</v>
      </c>
      <c r="L83" s="122">
        <v>447</v>
      </c>
    </row>
    <row r="84" spans="1:12" s="229" customFormat="1" ht="15" customHeight="1" x14ac:dyDescent="0.2">
      <c r="A84" s="206" t="s">
        <v>374</v>
      </c>
      <c r="B84" s="228" t="s">
        <v>457</v>
      </c>
      <c r="C84" s="228" t="s">
        <v>457</v>
      </c>
      <c r="D84" s="228" t="s">
        <v>457</v>
      </c>
      <c r="E84" s="117">
        <f>SUBTOTAL(109,school201920[Program
Costs])</f>
        <v>1493855</v>
      </c>
      <c r="F84" s="117">
        <f>SUBTOTAL(109,school201920[Less: Net
 Payments and 
Offsets 2])</f>
        <v>26000</v>
      </c>
      <c r="G84" s="228" t="s">
        <v>457</v>
      </c>
      <c r="H84" s="117">
        <f>SUBTOTAL(109,school201920[Accounts Payable
Balance])</f>
        <v>1467855</v>
      </c>
      <c r="I84" s="204">
        <f>SUBTOTAL(109,school201920[Established
Accounts Receivable])</f>
        <v>0</v>
      </c>
      <c r="J84" s="204">
        <f>SUBTOTAL(109,school201920[Less: 
Recovered 
Amount])</f>
        <v>0</v>
      </c>
      <c r="K84" s="204">
        <f>SUBTOTAL(109,school201920[Accounts Receivable
Balance])</f>
        <v>0</v>
      </c>
      <c r="L84" s="117">
        <f>SUBTOTAL(109,school201920[Net
Balance])</f>
        <v>1467855</v>
      </c>
    </row>
    <row r="85" spans="1:12" x14ac:dyDescent="0.2">
      <c r="A85" s="169" t="s">
        <v>463</v>
      </c>
      <c r="B85" s="198"/>
      <c r="C85" s="37"/>
      <c r="D85" s="103"/>
      <c r="E85" s="122"/>
      <c r="F85" s="122"/>
      <c r="G85" s="122"/>
      <c r="H85" s="122"/>
      <c r="I85" s="122"/>
      <c r="J85" s="122"/>
      <c r="K85" s="122"/>
      <c r="L85" s="122"/>
    </row>
    <row r="86" spans="1:12" ht="50.1" customHeight="1" x14ac:dyDescent="0.2">
      <c r="A86" s="40" t="s">
        <v>1</v>
      </c>
      <c r="B86" s="40" t="s">
        <v>15</v>
      </c>
      <c r="C86" s="40" t="s">
        <v>16</v>
      </c>
      <c r="D86" s="40" t="s">
        <v>454</v>
      </c>
      <c r="E86" s="230" t="s">
        <v>3</v>
      </c>
      <c r="F86" s="231" t="s">
        <v>592</v>
      </c>
      <c r="G86" s="232" t="s">
        <v>462</v>
      </c>
      <c r="H86" s="230" t="s">
        <v>461</v>
      </c>
      <c r="I86" s="197" t="s">
        <v>460</v>
      </c>
      <c r="J86" s="230" t="s">
        <v>459</v>
      </c>
      <c r="K86" s="230" t="s">
        <v>458</v>
      </c>
      <c r="L86" s="230" t="s">
        <v>17</v>
      </c>
    </row>
    <row r="87" spans="1:12" ht="15" customHeight="1" x14ac:dyDescent="0.2">
      <c r="A87" s="103" t="s">
        <v>63</v>
      </c>
      <c r="B87" s="198" t="s">
        <v>217</v>
      </c>
      <c r="C87" s="37" t="s">
        <v>218</v>
      </c>
      <c r="D87" s="103">
        <v>250</v>
      </c>
      <c r="E87" s="122">
        <v>15908</v>
      </c>
      <c r="F87" s="122">
        <v>1000</v>
      </c>
      <c r="G87" s="227" t="s">
        <v>457</v>
      </c>
      <c r="H87" s="122">
        <v>14908</v>
      </c>
      <c r="I87" s="199">
        <v>0</v>
      </c>
      <c r="J87" s="199">
        <v>0</v>
      </c>
      <c r="K87" s="199">
        <v>0</v>
      </c>
      <c r="L87" s="122">
        <v>14908</v>
      </c>
    </row>
    <row r="88" spans="1:12" ht="30" customHeight="1" x14ac:dyDescent="0.2">
      <c r="A88" s="103" t="s">
        <v>63</v>
      </c>
      <c r="B88" s="198" t="s">
        <v>262</v>
      </c>
      <c r="C88" s="37" t="s">
        <v>263</v>
      </c>
      <c r="D88" s="103">
        <v>370</v>
      </c>
      <c r="E88" s="122">
        <v>49754</v>
      </c>
      <c r="F88" s="122">
        <v>1000</v>
      </c>
      <c r="G88" s="227" t="s">
        <v>457</v>
      </c>
      <c r="H88" s="122">
        <v>48754</v>
      </c>
      <c r="I88" s="199">
        <v>0</v>
      </c>
      <c r="J88" s="199">
        <v>0</v>
      </c>
      <c r="K88" s="199">
        <v>0</v>
      </c>
      <c r="L88" s="122">
        <v>48754</v>
      </c>
    </row>
    <row r="89" spans="1:12" ht="30" customHeight="1" x14ac:dyDescent="0.2">
      <c r="A89" s="103" t="s">
        <v>63</v>
      </c>
      <c r="B89" s="198" t="s">
        <v>219</v>
      </c>
      <c r="C89" s="37" t="s">
        <v>220</v>
      </c>
      <c r="D89" s="103">
        <v>369</v>
      </c>
      <c r="E89" s="122">
        <v>73358</v>
      </c>
      <c r="F89" s="122">
        <v>1000</v>
      </c>
      <c r="G89" s="227" t="s">
        <v>457</v>
      </c>
      <c r="H89" s="122">
        <v>72358</v>
      </c>
      <c r="I89" s="199">
        <v>0</v>
      </c>
      <c r="J89" s="199">
        <v>0</v>
      </c>
      <c r="K89" s="199">
        <v>0</v>
      </c>
      <c r="L89" s="122">
        <v>72358</v>
      </c>
    </row>
    <row r="90" spans="1:12" ht="30" customHeight="1" x14ac:dyDescent="0.2">
      <c r="A90" s="103" t="s">
        <v>63</v>
      </c>
      <c r="B90" s="198" t="s">
        <v>221</v>
      </c>
      <c r="C90" s="37" t="s">
        <v>222</v>
      </c>
      <c r="D90" s="103">
        <v>172</v>
      </c>
      <c r="E90" s="122">
        <v>2715</v>
      </c>
      <c r="F90" s="122">
        <v>1000</v>
      </c>
      <c r="G90" s="227" t="s">
        <v>457</v>
      </c>
      <c r="H90" s="122">
        <v>1715</v>
      </c>
      <c r="I90" s="199">
        <v>0</v>
      </c>
      <c r="J90" s="199">
        <v>0</v>
      </c>
      <c r="K90" s="199">
        <v>0</v>
      </c>
      <c r="L90" s="122">
        <v>1715</v>
      </c>
    </row>
    <row r="91" spans="1:12" ht="30" customHeight="1" x14ac:dyDescent="0.2">
      <c r="A91" s="103" t="s">
        <v>63</v>
      </c>
      <c r="B91" s="198" t="s">
        <v>195</v>
      </c>
      <c r="C91" s="37" t="s">
        <v>196</v>
      </c>
      <c r="D91" s="103">
        <v>11</v>
      </c>
      <c r="E91" s="122">
        <v>136002</v>
      </c>
      <c r="F91" s="122">
        <v>1000</v>
      </c>
      <c r="G91" s="227" t="s">
        <v>457</v>
      </c>
      <c r="H91" s="122">
        <v>135002</v>
      </c>
      <c r="I91" s="199">
        <v>0</v>
      </c>
      <c r="J91" s="199">
        <v>0</v>
      </c>
      <c r="K91" s="199">
        <v>0</v>
      </c>
      <c r="L91" s="122">
        <v>135002</v>
      </c>
    </row>
    <row r="92" spans="1:12" ht="15" customHeight="1" x14ac:dyDescent="0.2">
      <c r="A92" s="103" t="s">
        <v>63</v>
      </c>
      <c r="B92" s="198" t="s">
        <v>223</v>
      </c>
      <c r="C92" s="37" t="s">
        <v>224</v>
      </c>
      <c r="D92" s="103">
        <v>313</v>
      </c>
      <c r="E92" s="122">
        <v>27892</v>
      </c>
      <c r="F92" s="122">
        <v>1000</v>
      </c>
      <c r="G92" s="227" t="s">
        <v>457</v>
      </c>
      <c r="H92" s="122">
        <v>26892</v>
      </c>
      <c r="I92" s="199">
        <v>0</v>
      </c>
      <c r="J92" s="199">
        <v>0</v>
      </c>
      <c r="K92" s="199">
        <v>0</v>
      </c>
      <c r="L92" s="122">
        <v>26892</v>
      </c>
    </row>
    <row r="93" spans="1:12" ht="30" customHeight="1" x14ac:dyDescent="0.2">
      <c r="A93" s="103" t="s">
        <v>63</v>
      </c>
      <c r="B93" s="198" t="s">
        <v>225</v>
      </c>
      <c r="C93" s="37" t="s">
        <v>226</v>
      </c>
      <c r="D93" s="103">
        <v>330</v>
      </c>
      <c r="E93" s="122">
        <v>36306</v>
      </c>
      <c r="F93" s="122">
        <v>1000</v>
      </c>
      <c r="G93" s="227" t="s">
        <v>457</v>
      </c>
      <c r="H93" s="122">
        <v>35306</v>
      </c>
      <c r="I93" s="199">
        <v>0</v>
      </c>
      <c r="J93" s="199">
        <v>0</v>
      </c>
      <c r="K93" s="199">
        <v>0</v>
      </c>
      <c r="L93" s="122">
        <v>35306</v>
      </c>
    </row>
    <row r="94" spans="1:12" ht="30" customHeight="1" x14ac:dyDescent="0.2">
      <c r="A94" s="103" t="s">
        <v>63</v>
      </c>
      <c r="B94" s="198" t="s">
        <v>227</v>
      </c>
      <c r="C94" s="37" t="s">
        <v>228</v>
      </c>
      <c r="D94" s="103">
        <v>272</v>
      </c>
      <c r="E94" s="122">
        <v>24722</v>
      </c>
      <c r="F94" s="122">
        <v>1000</v>
      </c>
      <c r="G94" s="227" t="s">
        <v>457</v>
      </c>
      <c r="H94" s="122">
        <v>23722</v>
      </c>
      <c r="I94" s="199">
        <v>0</v>
      </c>
      <c r="J94" s="199">
        <v>0</v>
      </c>
      <c r="K94" s="199">
        <v>0</v>
      </c>
      <c r="L94" s="122">
        <v>23722</v>
      </c>
    </row>
    <row r="95" spans="1:12" ht="30" customHeight="1" x14ac:dyDescent="0.2">
      <c r="A95" s="103" t="s">
        <v>63</v>
      </c>
      <c r="B95" s="198" t="s">
        <v>229</v>
      </c>
      <c r="C95" s="37" t="s">
        <v>230</v>
      </c>
      <c r="D95" s="103">
        <v>276</v>
      </c>
      <c r="E95" s="122">
        <v>3169</v>
      </c>
      <c r="F95" s="122">
        <v>1000</v>
      </c>
      <c r="G95" s="227" t="s">
        <v>457</v>
      </c>
      <c r="H95" s="122">
        <v>2169</v>
      </c>
      <c r="I95" s="199">
        <v>0</v>
      </c>
      <c r="J95" s="199">
        <v>0</v>
      </c>
      <c r="K95" s="199">
        <v>0</v>
      </c>
      <c r="L95" s="122">
        <v>2169</v>
      </c>
    </row>
    <row r="96" spans="1:12" ht="60" x14ac:dyDescent="0.2">
      <c r="A96" s="103" t="s">
        <v>63</v>
      </c>
      <c r="B96" s="198" t="s">
        <v>231</v>
      </c>
      <c r="C96" s="37" t="s">
        <v>232</v>
      </c>
      <c r="D96" s="103">
        <v>292</v>
      </c>
      <c r="E96" s="122">
        <v>27368</v>
      </c>
      <c r="F96" s="122">
        <v>1000</v>
      </c>
      <c r="G96" s="227" t="s">
        <v>457</v>
      </c>
      <c r="H96" s="122">
        <v>26368</v>
      </c>
      <c r="I96" s="199">
        <v>0</v>
      </c>
      <c r="J96" s="199">
        <v>0</v>
      </c>
      <c r="K96" s="199">
        <v>0</v>
      </c>
      <c r="L96" s="122">
        <v>26368</v>
      </c>
    </row>
    <row r="97" spans="1:12" ht="30" customHeight="1" x14ac:dyDescent="0.2">
      <c r="A97" s="103" t="s">
        <v>63</v>
      </c>
      <c r="B97" s="198" t="s">
        <v>233</v>
      </c>
      <c r="C97" s="37" t="s">
        <v>234</v>
      </c>
      <c r="D97" s="103">
        <v>209</v>
      </c>
      <c r="E97" s="122">
        <v>31923</v>
      </c>
      <c r="F97" s="122">
        <v>1000</v>
      </c>
      <c r="G97" s="227" t="s">
        <v>457</v>
      </c>
      <c r="H97" s="122">
        <v>30923</v>
      </c>
      <c r="I97" s="199">
        <v>0</v>
      </c>
      <c r="J97" s="199">
        <v>0</v>
      </c>
      <c r="K97" s="199">
        <v>0</v>
      </c>
      <c r="L97" s="122">
        <v>30923</v>
      </c>
    </row>
    <row r="98" spans="1:12" ht="15" customHeight="1" x14ac:dyDescent="0.2">
      <c r="A98" s="103" t="s">
        <v>63</v>
      </c>
      <c r="B98" s="198" t="s">
        <v>235</v>
      </c>
      <c r="C98" s="37" t="s">
        <v>236</v>
      </c>
      <c r="D98" s="103">
        <v>183</v>
      </c>
      <c r="E98" s="122">
        <v>7067</v>
      </c>
      <c r="F98" s="122">
        <v>1000</v>
      </c>
      <c r="G98" s="227" t="s">
        <v>457</v>
      </c>
      <c r="H98" s="122">
        <v>6067</v>
      </c>
      <c r="I98" s="199">
        <v>0</v>
      </c>
      <c r="J98" s="199">
        <v>0</v>
      </c>
      <c r="K98" s="199">
        <v>0</v>
      </c>
      <c r="L98" s="122">
        <v>6067</v>
      </c>
    </row>
    <row r="99" spans="1:12" ht="15" customHeight="1" x14ac:dyDescent="0.2">
      <c r="A99" s="103" t="s">
        <v>63</v>
      </c>
      <c r="B99" s="198" t="s">
        <v>264</v>
      </c>
      <c r="C99" s="37" t="s">
        <v>265</v>
      </c>
      <c r="D99" s="103">
        <v>251</v>
      </c>
      <c r="E99" s="122">
        <v>2048</v>
      </c>
      <c r="F99" s="122">
        <v>1000</v>
      </c>
      <c r="G99" s="227" t="s">
        <v>457</v>
      </c>
      <c r="H99" s="122">
        <v>1048</v>
      </c>
      <c r="I99" s="199">
        <v>0</v>
      </c>
      <c r="J99" s="199">
        <v>0</v>
      </c>
      <c r="K99" s="199">
        <v>0</v>
      </c>
      <c r="L99" s="122">
        <v>1048</v>
      </c>
    </row>
    <row r="100" spans="1:12" ht="15" customHeight="1" x14ac:dyDescent="0.2">
      <c r="A100" s="103" t="s">
        <v>63</v>
      </c>
      <c r="B100" s="198" t="s">
        <v>237</v>
      </c>
      <c r="C100" s="37" t="s">
        <v>208</v>
      </c>
      <c r="D100" s="103">
        <v>192</v>
      </c>
      <c r="E100" s="122">
        <v>5791</v>
      </c>
      <c r="F100" s="122">
        <v>1000</v>
      </c>
      <c r="G100" s="227" t="s">
        <v>457</v>
      </c>
      <c r="H100" s="122">
        <v>4791</v>
      </c>
      <c r="I100" s="199">
        <v>0</v>
      </c>
      <c r="J100" s="199">
        <v>0</v>
      </c>
      <c r="K100" s="199">
        <v>0</v>
      </c>
      <c r="L100" s="122">
        <v>4791</v>
      </c>
    </row>
    <row r="101" spans="1:12" ht="15" customHeight="1" x14ac:dyDescent="0.2">
      <c r="A101" s="103" t="s">
        <v>63</v>
      </c>
      <c r="B101" s="198" t="s">
        <v>238</v>
      </c>
      <c r="C101" s="37" t="s">
        <v>239</v>
      </c>
      <c r="D101" s="103">
        <v>297</v>
      </c>
      <c r="E101" s="122">
        <v>1000708</v>
      </c>
      <c r="F101" s="122">
        <v>1000</v>
      </c>
      <c r="G101" s="227" t="s">
        <v>457</v>
      </c>
      <c r="H101" s="122">
        <v>999708</v>
      </c>
      <c r="I101" s="199">
        <v>0</v>
      </c>
      <c r="J101" s="199">
        <v>0</v>
      </c>
      <c r="K101" s="199">
        <v>0</v>
      </c>
      <c r="L101" s="122">
        <v>999708</v>
      </c>
    </row>
    <row r="102" spans="1:12" ht="15" customHeight="1" x14ac:dyDescent="0.2">
      <c r="A102" s="103" t="s">
        <v>63</v>
      </c>
      <c r="B102" s="198" t="s">
        <v>240</v>
      </c>
      <c r="C102" s="37" t="s">
        <v>241</v>
      </c>
      <c r="D102" s="103">
        <v>166</v>
      </c>
      <c r="E102" s="122">
        <v>44363</v>
      </c>
      <c r="F102" s="122">
        <v>1000</v>
      </c>
      <c r="G102" s="227" t="s">
        <v>457</v>
      </c>
      <c r="H102" s="122">
        <v>43363</v>
      </c>
      <c r="I102" s="199">
        <v>0</v>
      </c>
      <c r="J102" s="199">
        <v>0</v>
      </c>
      <c r="K102" s="199">
        <v>0</v>
      </c>
      <c r="L102" s="122">
        <v>43363</v>
      </c>
    </row>
    <row r="103" spans="1:12" ht="15" customHeight="1" x14ac:dyDescent="0.2">
      <c r="A103" s="103" t="s">
        <v>63</v>
      </c>
      <c r="B103" s="198" t="s">
        <v>242</v>
      </c>
      <c r="C103" s="37" t="s">
        <v>243</v>
      </c>
      <c r="D103" s="103">
        <v>32</v>
      </c>
      <c r="E103" s="122">
        <v>9295</v>
      </c>
      <c r="F103" s="122">
        <v>1000</v>
      </c>
      <c r="G103" s="227" t="s">
        <v>457</v>
      </c>
      <c r="H103" s="122">
        <v>8295</v>
      </c>
      <c r="I103" s="199">
        <v>0</v>
      </c>
      <c r="J103" s="199">
        <v>0</v>
      </c>
      <c r="K103" s="199">
        <v>0</v>
      </c>
      <c r="L103" s="122">
        <v>8295</v>
      </c>
    </row>
    <row r="104" spans="1:12" ht="15" customHeight="1" x14ac:dyDescent="0.2">
      <c r="A104" s="103" t="s">
        <v>63</v>
      </c>
      <c r="B104" s="198" t="s">
        <v>244</v>
      </c>
      <c r="C104" s="37" t="s">
        <v>245</v>
      </c>
      <c r="D104" s="103">
        <v>368</v>
      </c>
      <c r="E104" s="122">
        <v>13387</v>
      </c>
      <c r="F104" s="122">
        <v>1000</v>
      </c>
      <c r="G104" s="227" t="s">
        <v>457</v>
      </c>
      <c r="H104" s="122">
        <v>12387</v>
      </c>
      <c r="I104" s="199">
        <v>0</v>
      </c>
      <c r="J104" s="199">
        <v>0</v>
      </c>
      <c r="K104" s="199">
        <v>0</v>
      </c>
      <c r="L104" s="122">
        <v>12387</v>
      </c>
    </row>
    <row r="105" spans="1:12" ht="15" customHeight="1" x14ac:dyDescent="0.2">
      <c r="A105" s="103" t="s">
        <v>63</v>
      </c>
      <c r="B105" s="198" t="s">
        <v>246</v>
      </c>
      <c r="C105" s="37" t="s">
        <v>247</v>
      </c>
      <c r="D105" s="103">
        <v>357</v>
      </c>
      <c r="E105" s="122">
        <v>4676</v>
      </c>
      <c r="F105" s="122">
        <v>1000</v>
      </c>
      <c r="G105" s="227" t="s">
        <v>457</v>
      </c>
      <c r="H105" s="122">
        <v>3676</v>
      </c>
      <c r="I105" s="199">
        <v>0</v>
      </c>
      <c r="J105" s="199">
        <v>0</v>
      </c>
      <c r="K105" s="199">
        <v>0</v>
      </c>
      <c r="L105" s="122">
        <v>3676</v>
      </c>
    </row>
    <row r="106" spans="1:12" ht="15" customHeight="1" x14ac:dyDescent="0.2">
      <c r="A106" s="103" t="s">
        <v>63</v>
      </c>
      <c r="B106" s="198" t="s">
        <v>248</v>
      </c>
      <c r="C106" s="37" t="s">
        <v>249</v>
      </c>
      <c r="D106" s="103">
        <v>153</v>
      </c>
      <c r="E106" s="122">
        <v>8800</v>
      </c>
      <c r="F106" s="122">
        <v>1000</v>
      </c>
      <c r="G106" s="227" t="s">
        <v>457</v>
      </c>
      <c r="H106" s="122">
        <v>7800</v>
      </c>
      <c r="I106" s="199">
        <v>0</v>
      </c>
      <c r="J106" s="199">
        <v>0</v>
      </c>
      <c r="K106" s="199">
        <v>0</v>
      </c>
      <c r="L106" s="122">
        <v>7800</v>
      </c>
    </row>
    <row r="107" spans="1:12" ht="15" customHeight="1" x14ac:dyDescent="0.2">
      <c r="A107" s="103" t="s">
        <v>63</v>
      </c>
      <c r="B107" s="198" t="s">
        <v>266</v>
      </c>
      <c r="C107" s="37" t="s">
        <v>267</v>
      </c>
      <c r="D107" s="103">
        <v>155</v>
      </c>
      <c r="E107" s="122">
        <v>2350</v>
      </c>
      <c r="F107" s="122">
        <v>1000</v>
      </c>
      <c r="G107" s="227" t="s">
        <v>457</v>
      </c>
      <c r="H107" s="122">
        <v>1350</v>
      </c>
      <c r="I107" s="199">
        <v>0</v>
      </c>
      <c r="J107" s="199">
        <v>0</v>
      </c>
      <c r="K107" s="199">
        <v>0</v>
      </c>
      <c r="L107" s="122">
        <v>1350</v>
      </c>
    </row>
    <row r="108" spans="1:12" ht="15" customHeight="1" x14ac:dyDescent="0.2">
      <c r="A108" s="103" t="s">
        <v>63</v>
      </c>
      <c r="B108" s="198" t="s">
        <v>250</v>
      </c>
      <c r="C108" s="37" t="s">
        <v>239</v>
      </c>
      <c r="D108" s="103">
        <v>48</v>
      </c>
      <c r="E108" s="122">
        <v>114153</v>
      </c>
      <c r="F108" s="122">
        <v>1000</v>
      </c>
      <c r="G108" s="227" t="s">
        <v>457</v>
      </c>
      <c r="H108" s="122">
        <v>113153</v>
      </c>
      <c r="I108" s="199">
        <v>0</v>
      </c>
      <c r="J108" s="199">
        <v>0</v>
      </c>
      <c r="K108" s="199">
        <v>0</v>
      </c>
      <c r="L108" s="122">
        <v>113153</v>
      </c>
    </row>
    <row r="109" spans="1:12" ht="15" customHeight="1" x14ac:dyDescent="0.2">
      <c r="A109" s="103" t="s">
        <v>63</v>
      </c>
      <c r="B109" s="198" t="s">
        <v>251</v>
      </c>
      <c r="C109" s="37" t="s">
        <v>252</v>
      </c>
      <c r="D109" s="103">
        <v>350</v>
      </c>
      <c r="E109" s="122">
        <v>3858</v>
      </c>
      <c r="F109" s="122">
        <v>1000</v>
      </c>
      <c r="G109" s="227" t="s">
        <v>457</v>
      </c>
      <c r="H109" s="122">
        <v>2858</v>
      </c>
      <c r="I109" s="199">
        <v>0</v>
      </c>
      <c r="J109" s="199">
        <v>0</v>
      </c>
      <c r="K109" s="199">
        <v>0</v>
      </c>
      <c r="L109" s="122">
        <v>2858</v>
      </c>
    </row>
    <row r="110" spans="1:12" ht="15" customHeight="1" x14ac:dyDescent="0.2">
      <c r="A110" s="103" t="s">
        <v>63</v>
      </c>
      <c r="B110" s="198" t="s">
        <v>268</v>
      </c>
      <c r="C110" s="37" t="s">
        <v>269</v>
      </c>
      <c r="D110" s="103">
        <v>173</v>
      </c>
      <c r="E110" s="122">
        <v>7912</v>
      </c>
      <c r="F110" s="122">
        <v>1000</v>
      </c>
      <c r="G110" s="227" t="s">
        <v>457</v>
      </c>
      <c r="H110" s="122">
        <v>6912</v>
      </c>
      <c r="I110" s="199">
        <v>0</v>
      </c>
      <c r="J110" s="199">
        <v>0</v>
      </c>
      <c r="K110" s="199">
        <v>0</v>
      </c>
      <c r="L110" s="122">
        <v>6912</v>
      </c>
    </row>
    <row r="111" spans="1:12" ht="15" customHeight="1" x14ac:dyDescent="0.2">
      <c r="A111" s="103" t="s">
        <v>63</v>
      </c>
      <c r="B111" s="198" t="s">
        <v>372</v>
      </c>
      <c r="C111" s="37" t="s">
        <v>373</v>
      </c>
      <c r="D111" s="103">
        <v>374</v>
      </c>
      <c r="E111" s="122">
        <v>715194</v>
      </c>
      <c r="F111" s="199">
        <v>0</v>
      </c>
      <c r="G111" s="227" t="s">
        <v>457</v>
      </c>
      <c r="H111" s="122">
        <v>715194</v>
      </c>
      <c r="I111" s="199">
        <v>0</v>
      </c>
      <c r="J111" s="199">
        <v>0</v>
      </c>
      <c r="K111" s="199">
        <v>0</v>
      </c>
      <c r="L111" s="122">
        <v>715194</v>
      </c>
    </row>
    <row r="112" spans="1:12" ht="15" customHeight="1" x14ac:dyDescent="0.2">
      <c r="A112" s="103" t="s">
        <v>63</v>
      </c>
      <c r="B112" s="198" t="s">
        <v>270</v>
      </c>
      <c r="C112" s="37" t="s">
        <v>256</v>
      </c>
      <c r="D112" s="103">
        <v>244</v>
      </c>
      <c r="E112" s="122">
        <v>3097</v>
      </c>
      <c r="F112" s="122">
        <v>1000</v>
      </c>
      <c r="G112" s="227" t="s">
        <v>457</v>
      </c>
      <c r="H112" s="122">
        <v>2097</v>
      </c>
      <c r="I112" s="199">
        <v>0</v>
      </c>
      <c r="J112" s="199">
        <v>0</v>
      </c>
      <c r="K112" s="199">
        <v>0</v>
      </c>
      <c r="L112" s="122">
        <v>2097</v>
      </c>
    </row>
    <row r="113" spans="1:12" ht="15" customHeight="1" x14ac:dyDescent="0.2">
      <c r="A113" s="103" t="s">
        <v>63</v>
      </c>
      <c r="B113" s="198" t="s">
        <v>253</v>
      </c>
      <c r="C113" s="37" t="s">
        <v>254</v>
      </c>
      <c r="D113" s="103">
        <v>171</v>
      </c>
      <c r="E113" s="122">
        <v>15251</v>
      </c>
      <c r="F113" s="122">
        <v>1000</v>
      </c>
      <c r="G113" s="227" t="s">
        <v>457</v>
      </c>
      <c r="H113" s="122">
        <v>14251</v>
      </c>
      <c r="I113" s="199">
        <v>0</v>
      </c>
      <c r="J113" s="199">
        <v>0</v>
      </c>
      <c r="K113" s="199">
        <v>0</v>
      </c>
      <c r="L113" s="122">
        <v>14251</v>
      </c>
    </row>
    <row r="114" spans="1:12" ht="30" customHeight="1" x14ac:dyDescent="0.2">
      <c r="A114" s="103" t="s">
        <v>63</v>
      </c>
      <c r="B114" s="198" t="s">
        <v>255</v>
      </c>
      <c r="C114" s="37" t="s">
        <v>256</v>
      </c>
      <c r="D114" s="103">
        <v>258</v>
      </c>
      <c r="E114" s="122">
        <v>53492</v>
      </c>
      <c r="F114" s="122">
        <v>1000</v>
      </c>
      <c r="G114" s="227" t="s">
        <v>457</v>
      </c>
      <c r="H114" s="122">
        <v>52492</v>
      </c>
      <c r="I114" s="199">
        <v>0</v>
      </c>
      <c r="J114" s="199">
        <v>0</v>
      </c>
      <c r="K114" s="199">
        <v>0</v>
      </c>
      <c r="L114" s="122">
        <v>52492</v>
      </c>
    </row>
    <row r="115" spans="1:12" ht="15" customHeight="1" x14ac:dyDescent="0.2">
      <c r="A115" s="103" t="s">
        <v>63</v>
      </c>
      <c r="B115" s="198" t="s">
        <v>257</v>
      </c>
      <c r="C115" s="37" t="s">
        <v>239</v>
      </c>
      <c r="D115" s="103">
        <v>260</v>
      </c>
      <c r="E115" s="122">
        <v>105162</v>
      </c>
      <c r="F115" s="122">
        <v>1000</v>
      </c>
      <c r="G115" s="227" t="s">
        <v>457</v>
      </c>
      <c r="H115" s="122">
        <v>104162</v>
      </c>
      <c r="I115" s="199">
        <v>0</v>
      </c>
      <c r="J115" s="199">
        <v>0</v>
      </c>
      <c r="K115" s="199">
        <v>0</v>
      </c>
      <c r="L115" s="122">
        <v>104162</v>
      </c>
    </row>
    <row r="116" spans="1:12" ht="15" customHeight="1" x14ac:dyDescent="0.2">
      <c r="A116" s="103" t="s">
        <v>63</v>
      </c>
      <c r="B116" s="198" t="s">
        <v>258</v>
      </c>
      <c r="C116" s="37" t="s">
        <v>259</v>
      </c>
      <c r="D116" s="103">
        <v>367</v>
      </c>
      <c r="E116" s="122">
        <v>92147</v>
      </c>
      <c r="F116" s="122">
        <v>1000</v>
      </c>
      <c r="G116" s="227" t="s">
        <v>457</v>
      </c>
      <c r="H116" s="122">
        <v>91147</v>
      </c>
      <c r="I116" s="199">
        <v>0</v>
      </c>
      <c r="J116" s="199">
        <v>0</v>
      </c>
      <c r="K116" s="199">
        <v>0</v>
      </c>
      <c r="L116" s="122">
        <v>91147</v>
      </c>
    </row>
    <row r="117" spans="1:12" ht="15" customHeight="1" x14ac:dyDescent="0.2">
      <c r="A117" s="103" t="s">
        <v>63</v>
      </c>
      <c r="B117" s="198" t="s">
        <v>271</v>
      </c>
      <c r="C117" s="37" t="s">
        <v>272</v>
      </c>
      <c r="D117" s="103">
        <v>346</v>
      </c>
      <c r="E117" s="122">
        <v>1195</v>
      </c>
      <c r="F117" s="122">
        <v>1000</v>
      </c>
      <c r="G117" s="227" t="s">
        <v>457</v>
      </c>
      <c r="H117" s="122">
        <v>195</v>
      </c>
      <c r="I117" s="199">
        <v>0</v>
      </c>
      <c r="J117" s="199">
        <v>0</v>
      </c>
      <c r="K117" s="199">
        <v>0</v>
      </c>
      <c r="L117" s="122">
        <v>195</v>
      </c>
    </row>
    <row r="118" spans="1:12" s="229" customFormat="1" ht="15" customHeight="1" x14ac:dyDescent="0.2">
      <c r="A118" s="103" t="s">
        <v>63</v>
      </c>
      <c r="B118" s="198" t="s">
        <v>260</v>
      </c>
      <c r="C118" s="37" t="s">
        <v>261</v>
      </c>
      <c r="D118" s="103">
        <v>351</v>
      </c>
      <c r="E118" s="122">
        <v>10813</v>
      </c>
      <c r="F118" s="122">
        <v>1000</v>
      </c>
      <c r="G118" s="227" t="s">
        <v>457</v>
      </c>
      <c r="H118" s="122">
        <v>9813</v>
      </c>
      <c r="I118" s="199">
        <v>0</v>
      </c>
      <c r="J118" s="199">
        <v>0</v>
      </c>
      <c r="K118" s="199">
        <v>0</v>
      </c>
      <c r="L118" s="122">
        <v>9813</v>
      </c>
    </row>
    <row r="119" spans="1:12" ht="15" customHeight="1" x14ac:dyDescent="0.2">
      <c r="A119" s="206" t="s">
        <v>375</v>
      </c>
      <c r="B119" s="228" t="s">
        <v>457</v>
      </c>
      <c r="C119" s="228" t="s">
        <v>457</v>
      </c>
      <c r="D119" s="228" t="s">
        <v>457</v>
      </c>
      <c r="E119" s="117">
        <f>SUBTOTAL(109,school201819[Program
Costs])</f>
        <v>2649876</v>
      </c>
      <c r="F119" s="117">
        <f>SUBTOTAL(109,school201819[Less: Net
 Payments and 
Offsets 2])</f>
        <v>31000</v>
      </c>
      <c r="G119" s="228" t="s">
        <v>457</v>
      </c>
      <c r="H119" s="117">
        <f>SUBTOTAL(109,school201819[Accounts Payable
Balance])</f>
        <v>2618876</v>
      </c>
      <c r="I119" s="204">
        <f>SUBTOTAL(109,school201819[Established
Accounts Receivable])</f>
        <v>0</v>
      </c>
      <c r="J119" s="204">
        <f>SUBTOTAL(109,school201819[Less: 
Recovered 
Amount])</f>
        <v>0</v>
      </c>
      <c r="K119" s="204">
        <f>SUBTOTAL(109,school201819[Accounts Receivable
Balance])</f>
        <v>0</v>
      </c>
      <c r="L119" s="117">
        <f>SUBTOTAL(109,school201819[Net
Balance])</f>
        <v>2618876</v>
      </c>
    </row>
    <row r="120" spans="1:12" x14ac:dyDescent="0.2">
      <c r="A120" s="169" t="s">
        <v>463</v>
      </c>
      <c r="B120" s="198"/>
      <c r="C120" s="37"/>
      <c r="D120" s="103"/>
      <c r="E120" s="122"/>
      <c r="F120" s="122"/>
      <c r="G120" s="122"/>
      <c r="H120" s="122"/>
      <c r="I120" s="122"/>
      <c r="J120" s="122"/>
      <c r="K120" s="122"/>
      <c r="L120" s="122"/>
    </row>
    <row r="121" spans="1:12" ht="50.1" customHeight="1" x14ac:dyDescent="0.2">
      <c r="A121" s="40" t="s">
        <v>1</v>
      </c>
      <c r="B121" s="40" t="s">
        <v>15</v>
      </c>
      <c r="C121" s="40" t="s">
        <v>16</v>
      </c>
      <c r="D121" s="40" t="s">
        <v>454</v>
      </c>
      <c r="E121" s="230" t="s">
        <v>3</v>
      </c>
      <c r="F121" s="231" t="s">
        <v>592</v>
      </c>
      <c r="G121" s="232" t="s">
        <v>462</v>
      </c>
      <c r="H121" s="230" t="s">
        <v>461</v>
      </c>
      <c r="I121" s="197" t="s">
        <v>460</v>
      </c>
      <c r="J121" s="230" t="s">
        <v>459</v>
      </c>
      <c r="K121" s="230" t="s">
        <v>458</v>
      </c>
      <c r="L121" s="230" t="s">
        <v>17</v>
      </c>
    </row>
    <row r="122" spans="1:12" ht="15" customHeight="1" x14ac:dyDescent="0.2">
      <c r="A122" s="103" t="s">
        <v>64</v>
      </c>
      <c r="B122" s="198" t="s">
        <v>217</v>
      </c>
      <c r="C122" s="37" t="s">
        <v>218</v>
      </c>
      <c r="D122" s="103">
        <v>250</v>
      </c>
      <c r="E122" s="122">
        <v>14913</v>
      </c>
      <c r="F122" s="122">
        <v>1000</v>
      </c>
      <c r="G122" s="227" t="s">
        <v>457</v>
      </c>
      <c r="H122" s="122">
        <v>13913</v>
      </c>
      <c r="I122" s="199">
        <v>0</v>
      </c>
      <c r="J122" s="199">
        <v>0</v>
      </c>
      <c r="K122" s="199">
        <v>0</v>
      </c>
      <c r="L122" s="122">
        <v>13913</v>
      </c>
    </row>
    <row r="123" spans="1:12" ht="30" customHeight="1" x14ac:dyDescent="0.2">
      <c r="A123" s="103" t="s">
        <v>64</v>
      </c>
      <c r="B123" s="198" t="s">
        <v>262</v>
      </c>
      <c r="C123" s="37" t="s">
        <v>263</v>
      </c>
      <c r="D123" s="103">
        <v>370</v>
      </c>
      <c r="E123" s="122">
        <v>206525</v>
      </c>
      <c r="F123" s="122">
        <v>12444</v>
      </c>
      <c r="G123" s="227" t="s">
        <v>457</v>
      </c>
      <c r="H123" s="122">
        <v>194081</v>
      </c>
      <c r="I123" s="199">
        <v>0</v>
      </c>
      <c r="J123" s="199">
        <v>0</v>
      </c>
      <c r="K123" s="199">
        <v>0</v>
      </c>
      <c r="L123" s="122">
        <v>194081</v>
      </c>
    </row>
    <row r="124" spans="1:12" ht="30" customHeight="1" x14ac:dyDescent="0.2">
      <c r="A124" s="103" t="s">
        <v>64</v>
      </c>
      <c r="B124" s="198" t="s">
        <v>219</v>
      </c>
      <c r="C124" s="37" t="s">
        <v>220</v>
      </c>
      <c r="D124" s="103">
        <v>369</v>
      </c>
      <c r="E124" s="122">
        <v>89543</v>
      </c>
      <c r="F124" s="122">
        <v>1000</v>
      </c>
      <c r="G124" s="227" t="s">
        <v>457</v>
      </c>
      <c r="H124" s="122">
        <v>88543</v>
      </c>
      <c r="I124" s="199">
        <v>0</v>
      </c>
      <c r="J124" s="199">
        <v>0</v>
      </c>
      <c r="K124" s="199">
        <v>0</v>
      </c>
      <c r="L124" s="122">
        <v>88543</v>
      </c>
    </row>
    <row r="125" spans="1:12" ht="30" customHeight="1" x14ac:dyDescent="0.2">
      <c r="A125" s="103" t="s">
        <v>64</v>
      </c>
      <c r="B125" s="198" t="s">
        <v>221</v>
      </c>
      <c r="C125" s="37" t="s">
        <v>222</v>
      </c>
      <c r="D125" s="103">
        <v>172</v>
      </c>
      <c r="E125" s="122">
        <v>2572</v>
      </c>
      <c r="F125" s="122">
        <v>1000</v>
      </c>
      <c r="G125" s="227" t="s">
        <v>457</v>
      </c>
      <c r="H125" s="122">
        <v>1572</v>
      </c>
      <c r="I125" s="199">
        <v>0</v>
      </c>
      <c r="J125" s="199">
        <v>0</v>
      </c>
      <c r="K125" s="199">
        <v>0</v>
      </c>
      <c r="L125" s="122">
        <v>1572</v>
      </c>
    </row>
    <row r="126" spans="1:12" ht="15" customHeight="1" x14ac:dyDescent="0.2">
      <c r="A126" s="103" t="s">
        <v>64</v>
      </c>
      <c r="B126" s="198" t="s">
        <v>273</v>
      </c>
      <c r="C126" s="37" t="s">
        <v>274</v>
      </c>
      <c r="D126" s="103">
        <v>278</v>
      </c>
      <c r="E126" s="122">
        <v>7603</v>
      </c>
      <c r="F126" s="122">
        <v>1000</v>
      </c>
      <c r="G126" s="227" t="s">
        <v>457</v>
      </c>
      <c r="H126" s="122">
        <v>6603</v>
      </c>
      <c r="I126" s="199">
        <v>0</v>
      </c>
      <c r="J126" s="199">
        <v>0</v>
      </c>
      <c r="K126" s="199">
        <v>0</v>
      </c>
      <c r="L126" s="122">
        <v>6603</v>
      </c>
    </row>
    <row r="127" spans="1:12" ht="30" customHeight="1" x14ac:dyDescent="0.2">
      <c r="A127" s="103" t="s">
        <v>64</v>
      </c>
      <c r="B127" s="198" t="s">
        <v>195</v>
      </c>
      <c r="C127" s="37" t="s">
        <v>196</v>
      </c>
      <c r="D127" s="103">
        <v>11</v>
      </c>
      <c r="E127" s="122">
        <v>148627</v>
      </c>
      <c r="F127" s="122">
        <v>1000</v>
      </c>
      <c r="G127" s="227" t="s">
        <v>457</v>
      </c>
      <c r="H127" s="122">
        <v>147627</v>
      </c>
      <c r="I127" s="199">
        <v>0</v>
      </c>
      <c r="J127" s="199">
        <v>0</v>
      </c>
      <c r="K127" s="199">
        <v>0</v>
      </c>
      <c r="L127" s="122">
        <v>147627</v>
      </c>
    </row>
    <row r="128" spans="1:12" ht="15" customHeight="1" x14ac:dyDescent="0.2">
      <c r="A128" s="103" t="s">
        <v>64</v>
      </c>
      <c r="B128" s="198" t="s">
        <v>223</v>
      </c>
      <c r="C128" s="37" t="s">
        <v>224</v>
      </c>
      <c r="D128" s="103">
        <v>313</v>
      </c>
      <c r="E128" s="122">
        <v>49479</v>
      </c>
      <c r="F128" s="122">
        <v>1000</v>
      </c>
      <c r="G128" s="227" t="s">
        <v>457</v>
      </c>
      <c r="H128" s="122">
        <v>48479</v>
      </c>
      <c r="I128" s="199">
        <v>0</v>
      </c>
      <c r="J128" s="199">
        <v>0</v>
      </c>
      <c r="K128" s="199">
        <v>0</v>
      </c>
      <c r="L128" s="122">
        <v>48479</v>
      </c>
    </row>
    <row r="129" spans="1:12" ht="30" customHeight="1" x14ac:dyDescent="0.2">
      <c r="A129" s="103" t="s">
        <v>64</v>
      </c>
      <c r="B129" s="198" t="s">
        <v>225</v>
      </c>
      <c r="C129" s="37" t="s">
        <v>226</v>
      </c>
      <c r="D129" s="103">
        <v>330</v>
      </c>
      <c r="E129" s="122">
        <v>49186</v>
      </c>
      <c r="F129" s="122">
        <v>1000</v>
      </c>
      <c r="G129" s="227" t="s">
        <v>457</v>
      </c>
      <c r="H129" s="122">
        <v>48186</v>
      </c>
      <c r="I129" s="199">
        <v>0</v>
      </c>
      <c r="J129" s="199">
        <v>0</v>
      </c>
      <c r="K129" s="199">
        <v>0</v>
      </c>
      <c r="L129" s="122">
        <v>48186</v>
      </c>
    </row>
    <row r="130" spans="1:12" ht="30" customHeight="1" x14ac:dyDescent="0.2">
      <c r="A130" s="103" t="s">
        <v>64</v>
      </c>
      <c r="B130" s="198" t="s">
        <v>227</v>
      </c>
      <c r="C130" s="37" t="s">
        <v>228</v>
      </c>
      <c r="D130" s="103">
        <v>272</v>
      </c>
      <c r="E130" s="122">
        <v>37266</v>
      </c>
      <c r="F130" s="122">
        <v>1000</v>
      </c>
      <c r="G130" s="227" t="s">
        <v>457</v>
      </c>
      <c r="H130" s="122">
        <v>36266</v>
      </c>
      <c r="I130" s="199">
        <v>0</v>
      </c>
      <c r="J130" s="199">
        <v>0</v>
      </c>
      <c r="K130" s="199">
        <v>0</v>
      </c>
      <c r="L130" s="122">
        <v>36266</v>
      </c>
    </row>
    <row r="131" spans="1:12" ht="30" customHeight="1" x14ac:dyDescent="0.2">
      <c r="A131" s="103" t="s">
        <v>64</v>
      </c>
      <c r="B131" s="198" t="s">
        <v>229</v>
      </c>
      <c r="C131" s="37" t="s">
        <v>230</v>
      </c>
      <c r="D131" s="103">
        <v>276</v>
      </c>
      <c r="E131" s="122">
        <v>5401</v>
      </c>
      <c r="F131" s="122">
        <v>1000</v>
      </c>
      <c r="G131" s="227" t="s">
        <v>457</v>
      </c>
      <c r="H131" s="122">
        <v>4401</v>
      </c>
      <c r="I131" s="199">
        <v>0</v>
      </c>
      <c r="J131" s="199">
        <v>0</v>
      </c>
      <c r="K131" s="199">
        <v>0</v>
      </c>
      <c r="L131" s="122">
        <v>4401</v>
      </c>
    </row>
    <row r="132" spans="1:12" ht="60" x14ac:dyDescent="0.2">
      <c r="A132" s="103" t="s">
        <v>64</v>
      </c>
      <c r="B132" s="198" t="s">
        <v>231</v>
      </c>
      <c r="C132" s="37" t="s">
        <v>232</v>
      </c>
      <c r="D132" s="103">
        <v>292</v>
      </c>
      <c r="E132" s="122">
        <v>67153</v>
      </c>
      <c r="F132" s="122">
        <v>1000</v>
      </c>
      <c r="G132" s="227" t="s">
        <v>457</v>
      </c>
      <c r="H132" s="122">
        <v>66153</v>
      </c>
      <c r="I132" s="199">
        <v>0</v>
      </c>
      <c r="J132" s="199">
        <v>0</v>
      </c>
      <c r="K132" s="199">
        <v>0</v>
      </c>
      <c r="L132" s="122">
        <v>66153</v>
      </c>
    </row>
    <row r="133" spans="1:12" ht="30" customHeight="1" x14ac:dyDescent="0.2">
      <c r="A133" s="103" t="s">
        <v>64</v>
      </c>
      <c r="B133" s="198" t="s">
        <v>233</v>
      </c>
      <c r="C133" s="37" t="s">
        <v>234</v>
      </c>
      <c r="D133" s="103">
        <v>209</v>
      </c>
      <c r="E133" s="122">
        <v>52760</v>
      </c>
      <c r="F133" s="122">
        <v>1000</v>
      </c>
      <c r="G133" s="227" t="s">
        <v>457</v>
      </c>
      <c r="H133" s="122">
        <v>51760</v>
      </c>
      <c r="I133" s="199">
        <v>0</v>
      </c>
      <c r="J133" s="199">
        <v>0</v>
      </c>
      <c r="K133" s="199">
        <v>0</v>
      </c>
      <c r="L133" s="122">
        <v>51760</v>
      </c>
    </row>
    <row r="134" spans="1:12" ht="15" customHeight="1" x14ac:dyDescent="0.2">
      <c r="A134" s="103" t="s">
        <v>64</v>
      </c>
      <c r="B134" s="198" t="s">
        <v>235</v>
      </c>
      <c r="C134" s="37" t="s">
        <v>236</v>
      </c>
      <c r="D134" s="103">
        <v>183</v>
      </c>
      <c r="E134" s="122">
        <v>16550</v>
      </c>
      <c r="F134" s="122">
        <v>1000</v>
      </c>
      <c r="G134" s="227" t="s">
        <v>457</v>
      </c>
      <c r="H134" s="122">
        <v>15550</v>
      </c>
      <c r="I134" s="199">
        <v>0</v>
      </c>
      <c r="J134" s="199">
        <v>0</v>
      </c>
      <c r="K134" s="199">
        <v>0</v>
      </c>
      <c r="L134" s="122">
        <v>15550</v>
      </c>
    </row>
    <row r="135" spans="1:12" ht="15" customHeight="1" x14ac:dyDescent="0.2">
      <c r="A135" s="103" t="s">
        <v>64</v>
      </c>
      <c r="B135" s="198" t="s">
        <v>264</v>
      </c>
      <c r="C135" s="37" t="s">
        <v>265</v>
      </c>
      <c r="D135" s="103">
        <v>251</v>
      </c>
      <c r="E135" s="122">
        <v>3144</v>
      </c>
      <c r="F135" s="122">
        <v>1000</v>
      </c>
      <c r="G135" s="227" t="s">
        <v>457</v>
      </c>
      <c r="H135" s="122">
        <v>2144</v>
      </c>
      <c r="I135" s="199">
        <v>0</v>
      </c>
      <c r="J135" s="199">
        <v>0</v>
      </c>
      <c r="K135" s="199">
        <v>0</v>
      </c>
      <c r="L135" s="122">
        <v>2144</v>
      </c>
    </row>
    <row r="136" spans="1:12" ht="15" customHeight="1" x14ac:dyDescent="0.2">
      <c r="A136" s="103" t="s">
        <v>64</v>
      </c>
      <c r="B136" s="198" t="s">
        <v>237</v>
      </c>
      <c r="C136" s="37" t="s">
        <v>208</v>
      </c>
      <c r="D136" s="103">
        <v>192</v>
      </c>
      <c r="E136" s="122">
        <v>13420</v>
      </c>
      <c r="F136" s="122">
        <v>1000</v>
      </c>
      <c r="G136" s="227" t="s">
        <v>457</v>
      </c>
      <c r="H136" s="122">
        <v>12420</v>
      </c>
      <c r="I136" s="199">
        <v>0</v>
      </c>
      <c r="J136" s="199">
        <v>0</v>
      </c>
      <c r="K136" s="199">
        <v>0</v>
      </c>
      <c r="L136" s="122">
        <v>12420</v>
      </c>
    </row>
    <row r="137" spans="1:12" ht="15" customHeight="1" x14ac:dyDescent="0.2">
      <c r="A137" s="103" t="s">
        <v>64</v>
      </c>
      <c r="B137" s="198" t="s">
        <v>238</v>
      </c>
      <c r="C137" s="37" t="s">
        <v>239</v>
      </c>
      <c r="D137" s="103">
        <v>297</v>
      </c>
      <c r="E137" s="122">
        <v>1552255</v>
      </c>
      <c r="F137" s="122">
        <v>1000</v>
      </c>
      <c r="G137" s="227" t="s">
        <v>457</v>
      </c>
      <c r="H137" s="122">
        <v>1551255</v>
      </c>
      <c r="I137" s="199">
        <v>0</v>
      </c>
      <c r="J137" s="199">
        <v>0</v>
      </c>
      <c r="K137" s="199">
        <v>0</v>
      </c>
      <c r="L137" s="122">
        <v>1551255</v>
      </c>
    </row>
    <row r="138" spans="1:12" ht="15" customHeight="1" x14ac:dyDescent="0.2">
      <c r="A138" s="103" t="s">
        <v>64</v>
      </c>
      <c r="B138" s="198" t="s">
        <v>240</v>
      </c>
      <c r="C138" s="37" t="s">
        <v>241</v>
      </c>
      <c r="D138" s="103">
        <v>166</v>
      </c>
      <c r="E138" s="122">
        <v>118001</v>
      </c>
      <c r="F138" s="122">
        <v>1000</v>
      </c>
      <c r="G138" s="227" t="s">
        <v>457</v>
      </c>
      <c r="H138" s="122">
        <v>117001</v>
      </c>
      <c r="I138" s="199">
        <v>0</v>
      </c>
      <c r="J138" s="199">
        <v>0</v>
      </c>
      <c r="K138" s="199">
        <v>0</v>
      </c>
      <c r="L138" s="122">
        <v>117001</v>
      </c>
    </row>
    <row r="139" spans="1:12" ht="15" customHeight="1" x14ac:dyDescent="0.2">
      <c r="A139" s="103" t="s">
        <v>64</v>
      </c>
      <c r="B139" s="198" t="s">
        <v>242</v>
      </c>
      <c r="C139" s="37" t="s">
        <v>243</v>
      </c>
      <c r="D139" s="103">
        <v>32</v>
      </c>
      <c r="E139" s="122">
        <v>18488</v>
      </c>
      <c r="F139" s="122">
        <v>1000</v>
      </c>
      <c r="G139" s="227" t="s">
        <v>457</v>
      </c>
      <c r="H139" s="122">
        <v>17488</v>
      </c>
      <c r="I139" s="199">
        <v>0</v>
      </c>
      <c r="J139" s="199">
        <v>0</v>
      </c>
      <c r="K139" s="199">
        <v>0</v>
      </c>
      <c r="L139" s="122">
        <v>17488</v>
      </c>
    </row>
    <row r="140" spans="1:12" ht="15" customHeight="1" x14ac:dyDescent="0.2">
      <c r="A140" s="103" t="s">
        <v>64</v>
      </c>
      <c r="B140" s="198" t="s">
        <v>244</v>
      </c>
      <c r="C140" s="37" t="s">
        <v>245</v>
      </c>
      <c r="D140" s="103">
        <v>368</v>
      </c>
      <c r="E140" s="122">
        <v>18536</v>
      </c>
      <c r="F140" s="122">
        <v>1000</v>
      </c>
      <c r="G140" s="227" t="s">
        <v>457</v>
      </c>
      <c r="H140" s="122">
        <v>17536</v>
      </c>
      <c r="I140" s="199">
        <v>0</v>
      </c>
      <c r="J140" s="199">
        <v>0</v>
      </c>
      <c r="K140" s="199">
        <v>0</v>
      </c>
      <c r="L140" s="122">
        <v>17536</v>
      </c>
    </row>
    <row r="141" spans="1:12" ht="15" customHeight="1" x14ac:dyDescent="0.2">
      <c r="A141" s="103" t="s">
        <v>64</v>
      </c>
      <c r="B141" s="198" t="s">
        <v>246</v>
      </c>
      <c r="C141" s="37" t="s">
        <v>247</v>
      </c>
      <c r="D141" s="103">
        <v>357</v>
      </c>
      <c r="E141" s="122">
        <v>15235</v>
      </c>
      <c r="F141" s="122">
        <v>1000</v>
      </c>
      <c r="G141" s="227" t="s">
        <v>457</v>
      </c>
      <c r="H141" s="122">
        <v>14235</v>
      </c>
      <c r="I141" s="199">
        <v>0</v>
      </c>
      <c r="J141" s="199">
        <v>0</v>
      </c>
      <c r="K141" s="199">
        <v>0</v>
      </c>
      <c r="L141" s="122">
        <v>14235</v>
      </c>
    </row>
    <row r="142" spans="1:12" ht="15" customHeight="1" x14ac:dyDescent="0.2">
      <c r="A142" s="103" t="s">
        <v>64</v>
      </c>
      <c r="B142" s="198" t="s">
        <v>248</v>
      </c>
      <c r="C142" s="37" t="s">
        <v>249</v>
      </c>
      <c r="D142" s="103">
        <v>153</v>
      </c>
      <c r="E142" s="122">
        <v>7120</v>
      </c>
      <c r="F142" s="122">
        <v>1000</v>
      </c>
      <c r="G142" s="227" t="s">
        <v>457</v>
      </c>
      <c r="H142" s="122">
        <v>6120</v>
      </c>
      <c r="I142" s="199">
        <v>0</v>
      </c>
      <c r="J142" s="199">
        <v>0</v>
      </c>
      <c r="K142" s="199">
        <v>0</v>
      </c>
      <c r="L142" s="122">
        <v>6120</v>
      </c>
    </row>
    <row r="143" spans="1:12" ht="15" customHeight="1" x14ac:dyDescent="0.2">
      <c r="A143" s="103" t="s">
        <v>64</v>
      </c>
      <c r="B143" s="198" t="s">
        <v>266</v>
      </c>
      <c r="C143" s="37" t="s">
        <v>267</v>
      </c>
      <c r="D143" s="103">
        <v>155</v>
      </c>
      <c r="E143" s="122">
        <v>3677</v>
      </c>
      <c r="F143" s="122">
        <v>1000</v>
      </c>
      <c r="G143" s="227" t="s">
        <v>457</v>
      </c>
      <c r="H143" s="122">
        <v>2677</v>
      </c>
      <c r="I143" s="199">
        <v>0</v>
      </c>
      <c r="J143" s="199">
        <v>0</v>
      </c>
      <c r="K143" s="199">
        <v>0</v>
      </c>
      <c r="L143" s="122">
        <v>2677</v>
      </c>
    </row>
    <row r="144" spans="1:12" ht="15" customHeight="1" x14ac:dyDescent="0.2">
      <c r="A144" s="103" t="s">
        <v>64</v>
      </c>
      <c r="B144" s="198" t="s">
        <v>250</v>
      </c>
      <c r="C144" s="37" t="s">
        <v>239</v>
      </c>
      <c r="D144" s="103">
        <v>48</v>
      </c>
      <c r="E144" s="122">
        <v>139533</v>
      </c>
      <c r="F144" s="122">
        <v>1000</v>
      </c>
      <c r="G144" s="227" t="s">
        <v>457</v>
      </c>
      <c r="H144" s="122">
        <v>138533</v>
      </c>
      <c r="I144" s="199">
        <v>0</v>
      </c>
      <c r="J144" s="199">
        <v>0</v>
      </c>
      <c r="K144" s="199">
        <v>0</v>
      </c>
      <c r="L144" s="122">
        <v>138533</v>
      </c>
    </row>
    <row r="145" spans="1:12" ht="15" customHeight="1" x14ac:dyDescent="0.2">
      <c r="A145" s="103" t="s">
        <v>64</v>
      </c>
      <c r="B145" s="198" t="s">
        <v>251</v>
      </c>
      <c r="C145" s="37" t="s">
        <v>252</v>
      </c>
      <c r="D145" s="103">
        <v>350</v>
      </c>
      <c r="E145" s="122">
        <v>3864</v>
      </c>
      <c r="F145" s="122">
        <v>1000</v>
      </c>
      <c r="G145" s="227" t="s">
        <v>457</v>
      </c>
      <c r="H145" s="122">
        <v>2864</v>
      </c>
      <c r="I145" s="199">
        <v>0</v>
      </c>
      <c r="J145" s="199">
        <v>0</v>
      </c>
      <c r="K145" s="199">
        <v>0</v>
      </c>
      <c r="L145" s="122">
        <v>2864</v>
      </c>
    </row>
    <row r="146" spans="1:12" ht="15" customHeight="1" x14ac:dyDescent="0.2">
      <c r="A146" s="103" t="s">
        <v>64</v>
      </c>
      <c r="B146" s="198" t="s">
        <v>268</v>
      </c>
      <c r="C146" s="37" t="s">
        <v>269</v>
      </c>
      <c r="D146" s="103">
        <v>173</v>
      </c>
      <c r="E146" s="122">
        <v>19997</v>
      </c>
      <c r="F146" s="122">
        <v>1000</v>
      </c>
      <c r="G146" s="227" t="s">
        <v>457</v>
      </c>
      <c r="H146" s="122">
        <v>18997</v>
      </c>
      <c r="I146" s="199">
        <v>0</v>
      </c>
      <c r="J146" s="199">
        <v>0</v>
      </c>
      <c r="K146" s="199">
        <v>0</v>
      </c>
      <c r="L146" s="122">
        <v>18997</v>
      </c>
    </row>
    <row r="147" spans="1:12" ht="15" customHeight="1" x14ac:dyDescent="0.2">
      <c r="A147" s="103" t="s">
        <v>64</v>
      </c>
      <c r="B147" s="198" t="s">
        <v>372</v>
      </c>
      <c r="C147" s="37" t="s">
        <v>373</v>
      </c>
      <c r="D147" s="103">
        <v>374</v>
      </c>
      <c r="E147" s="122">
        <v>959286</v>
      </c>
      <c r="F147" s="199">
        <v>0</v>
      </c>
      <c r="G147" s="227" t="s">
        <v>457</v>
      </c>
      <c r="H147" s="122">
        <v>959286</v>
      </c>
      <c r="I147" s="199">
        <v>0</v>
      </c>
      <c r="J147" s="199">
        <v>0</v>
      </c>
      <c r="K147" s="199">
        <v>0</v>
      </c>
      <c r="L147" s="122">
        <v>959286</v>
      </c>
    </row>
    <row r="148" spans="1:12" ht="30" customHeight="1" x14ac:dyDescent="0.2">
      <c r="A148" s="103" t="s">
        <v>64</v>
      </c>
      <c r="B148" s="198" t="s">
        <v>275</v>
      </c>
      <c r="C148" s="37" t="s">
        <v>276</v>
      </c>
      <c r="D148" s="103">
        <v>261</v>
      </c>
      <c r="E148" s="122">
        <v>2686</v>
      </c>
      <c r="F148" s="122">
        <v>1000</v>
      </c>
      <c r="G148" s="227" t="s">
        <v>457</v>
      </c>
      <c r="H148" s="122">
        <v>1686</v>
      </c>
      <c r="I148" s="199">
        <v>0</v>
      </c>
      <c r="J148" s="199">
        <v>0</v>
      </c>
      <c r="K148" s="199">
        <v>0</v>
      </c>
      <c r="L148" s="122">
        <v>1686</v>
      </c>
    </row>
    <row r="149" spans="1:12" ht="15" customHeight="1" x14ac:dyDescent="0.2">
      <c r="A149" s="103" t="s">
        <v>64</v>
      </c>
      <c r="B149" s="198" t="s">
        <v>270</v>
      </c>
      <c r="C149" s="37" t="s">
        <v>256</v>
      </c>
      <c r="D149" s="103">
        <v>244</v>
      </c>
      <c r="E149" s="122">
        <v>14913</v>
      </c>
      <c r="F149" s="122">
        <v>1000</v>
      </c>
      <c r="G149" s="227" t="s">
        <v>457</v>
      </c>
      <c r="H149" s="122">
        <v>13913</v>
      </c>
      <c r="I149" s="199">
        <v>0</v>
      </c>
      <c r="J149" s="199">
        <v>0</v>
      </c>
      <c r="K149" s="199">
        <v>0</v>
      </c>
      <c r="L149" s="122">
        <v>13913</v>
      </c>
    </row>
    <row r="150" spans="1:12" ht="15" customHeight="1" x14ac:dyDescent="0.2">
      <c r="A150" s="103" t="s">
        <v>64</v>
      </c>
      <c r="B150" s="198" t="s">
        <v>253</v>
      </c>
      <c r="C150" s="37" t="s">
        <v>254</v>
      </c>
      <c r="D150" s="103">
        <v>171</v>
      </c>
      <c r="E150" s="122">
        <v>16721</v>
      </c>
      <c r="F150" s="122">
        <v>1000</v>
      </c>
      <c r="G150" s="227" t="s">
        <v>457</v>
      </c>
      <c r="H150" s="122">
        <v>15721</v>
      </c>
      <c r="I150" s="199">
        <v>0</v>
      </c>
      <c r="J150" s="199">
        <v>0</v>
      </c>
      <c r="K150" s="199">
        <v>0</v>
      </c>
      <c r="L150" s="122">
        <v>15721</v>
      </c>
    </row>
    <row r="151" spans="1:12" ht="15" customHeight="1" x14ac:dyDescent="0.2">
      <c r="A151" s="103" t="s">
        <v>64</v>
      </c>
      <c r="B151" s="198" t="s">
        <v>255</v>
      </c>
      <c r="C151" s="37" t="s">
        <v>256</v>
      </c>
      <c r="D151" s="103">
        <v>258</v>
      </c>
      <c r="E151" s="122">
        <v>66570</v>
      </c>
      <c r="F151" s="122">
        <v>1000</v>
      </c>
      <c r="G151" s="227" t="s">
        <v>457</v>
      </c>
      <c r="H151" s="122">
        <v>65570</v>
      </c>
      <c r="I151" s="199">
        <v>0</v>
      </c>
      <c r="J151" s="199">
        <v>0</v>
      </c>
      <c r="K151" s="199">
        <v>0</v>
      </c>
      <c r="L151" s="122">
        <v>65570</v>
      </c>
    </row>
    <row r="152" spans="1:12" ht="15" customHeight="1" x14ac:dyDescent="0.2">
      <c r="A152" s="103" t="s">
        <v>64</v>
      </c>
      <c r="B152" s="198" t="s">
        <v>257</v>
      </c>
      <c r="C152" s="37" t="s">
        <v>239</v>
      </c>
      <c r="D152" s="103">
        <v>260</v>
      </c>
      <c r="E152" s="122">
        <v>172841</v>
      </c>
      <c r="F152" s="122">
        <v>1000</v>
      </c>
      <c r="G152" s="227" t="s">
        <v>457</v>
      </c>
      <c r="H152" s="122">
        <v>171841</v>
      </c>
      <c r="I152" s="199">
        <v>0</v>
      </c>
      <c r="J152" s="199">
        <v>0</v>
      </c>
      <c r="K152" s="199">
        <v>0</v>
      </c>
      <c r="L152" s="122">
        <v>171841</v>
      </c>
    </row>
    <row r="153" spans="1:12" s="229" customFormat="1" ht="15" customHeight="1" x14ac:dyDescent="0.2">
      <c r="A153" s="103" t="s">
        <v>64</v>
      </c>
      <c r="B153" s="198" t="s">
        <v>258</v>
      </c>
      <c r="C153" s="37" t="s">
        <v>259</v>
      </c>
      <c r="D153" s="103">
        <v>367</v>
      </c>
      <c r="E153" s="122">
        <v>153841</v>
      </c>
      <c r="F153" s="122">
        <v>1000</v>
      </c>
      <c r="G153" s="227" t="s">
        <v>457</v>
      </c>
      <c r="H153" s="122">
        <v>152841</v>
      </c>
      <c r="I153" s="199">
        <v>0</v>
      </c>
      <c r="J153" s="199">
        <v>0</v>
      </c>
      <c r="K153" s="199">
        <v>0</v>
      </c>
      <c r="L153" s="122">
        <v>152841</v>
      </c>
    </row>
    <row r="154" spans="1:12" ht="15" customHeight="1" x14ac:dyDescent="0.2">
      <c r="A154" s="103" t="s">
        <v>64</v>
      </c>
      <c r="B154" s="198" t="s">
        <v>260</v>
      </c>
      <c r="C154" s="37" t="s">
        <v>261</v>
      </c>
      <c r="D154" s="103">
        <v>351</v>
      </c>
      <c r="E154" s="122">
        <v>13266</v>
      </c>
      <c r="F154" s="122">
        <v>1000</v>
      </c>
      <c r="G154" s="227" t="s">
        <v>457</v>
      </c>
      <c r="H154" s="122">
        <v>12266</v>
      </c>
      <c r="I154" s="199">
        <v>0</v>
      </c>
      <c r="J154" s="199">
        <v>0</v>
      </c>
      <c r="K154" s="199">
        <v>0</v>
      </c>
      <c r="L154" s="122">
        <v>12266</v>
      </c>
    </row>
    <row r="155" spans="1:12" ht="15" customHeight="1" x14ac:dyDescent="0.2">
      <c r="A155" s="206" t="s">
        <v>376</v>
      </c>
      <c r="B155" s="228" t="s">
        <v>457</v>
      </c>
      <c r="C155" s="228" t="s">
        <v>457</v>
      </c>
      <c r="D155" s="228" t="s">
        <v>457</v>
      </c>
      <c r="E155" s="117">
        <f>SUBTOTAL(109,school201718[Program
Costs])</f>
        <v>4060972</v>
      </c>
      <c r="F155" s="117">
        <f>SUBTOTAL(109,school201718[Less: Net
 Payments and 
Offsets 2])</f>
        <v>43444</v>
      </c>
      <c r="G155" s="228" t="s">
        <v>457</v>
      </c>
      <c r="H155" s="117">
        <f>SUBTOTAL(109,school201718[Accounts Payable
Balance])</f>
        <v>4017528</v>
      </c>
      <c r="I155" s="204">
        <f>SUBTOTAL(109,school201718[Established
Accounts Receivable])</f>
        <v>0</v>
      </c>
      <c r="J155" s="204">
        <f>SUBTOTAL(109,school201718[Less: 
Recovered 
Amount])</f>
        <v>0</v>
      </c>
      <c r="K155" s="204">
        <f>SUBTOTAL(109,school201718[Accounts Receivable
Balance])</f>
        <v>0</v>
      </c>
      <c r="L155" s="117">
        <f>SUBTOTAL(109,school201718[Net
Balance])</f>
        <v>4017528</v>
      </c>
    </row>
    <row r="156" spans="1:12" x14ac:dyDescent="0.2">
      <c r="A156" s="169" t="s">
        <v>463</v>
      </c>
      <c r="B156" s="198"/>
      <c r="C156" s="37"/>
      <c r="D156" s="103"/>
      <c r="E156" s="122"/>
      <c r="F156" s="122"/>
      <c r="G156" s="122"/>
      <c r="H156" s="122"/>
      <c r="I156" s="122"/>
      <c r="J156" s="122"/>
      <c r="K156" s="122"/>
      <c r="L156" s="122"/>
    </row>
    <row r="157" spans="1:12" ht="50.1" customHeight="1" x14ac:dyDescent="0.2">
      <c r="A157" s="40" t="s">
        <v>1</v>
      </c>
      <c r="B157" s="40" t="s">
        <v>15</v>
      </c>
      <c r="C157" s="40" t="s">
        <v>16</v>
      </c>
      <c r="D157" s="40" t="s">
        <v>454</v>
      </c>
      <c r="E157" s="230" t="s">
        <v>3</v>
      </c>
      <c r="F157" s="231" t="s">
        <v>592</v>
      </c>
      <c r="G157" s="232" t="s">
        <v>462</v>
      </c>
      <c r="H157" s="230" t="s">
        <v>461</v>
      </c>
      <c r="I157" s="197" t="s">
        <v>460</v>
      </c>
      <c r="J157" s="230" t="s">
        <v>459</v>
      </c>
      <c r="K157" s="230" t="s">
        <v>458</v>
      </c>
      <c r="L157" s="230" t="s">
        <v>17</v>
      </c>
    </row>
    <row r="158" spans="1:12" ht="15" customHeight="1" x14ac:dyDescent="0.2">
      <c r="A158" s="103" t="s">
        <v>65</v>
      </c>
      <c r="B158" s="198" t="s">
        <v>277</v>
      </c>
      <c r="C158" s="37" t="s">
        <v>278</v>
      </c>
      <c r="D158" s="103">
        <v>305</v>
      </c>
      <c r="E158" s="122">
        <v>1203</v>
      </c>
      <c r="F158" s="122">
        <v>1000</v>
      </c>
      <c r="G158" s="227" t="s">
        <v>457</v>
      </c>
      <c r="H158" s="122">
        <v>203</v>
      </c>
      <c r="I158" s="199">
        <v>0</v>
      </c>
      <c r="J158" s="199">
        <v>0</v>
      </c>
      <c r="K158" s="199">
        <v>0</v>
      </c>
      <c r="L158" s="122">
        <v>203</v>
      </c>
    </row>
    <row r="159" spans="1:12" ht="15" customHeight="1" x14ac:dyDescent="0.2">
      <c r="A159" s="103" t="s">
        <v>65</v>
      </c>
      <c r="B159" s="198" t="s">
        <v>217</v>
      </c>
      <c r="C159" s="37" t="s">
        <v>218</v>
      </c>
      <c r="D159" s="103">
        <v>250</v>
      </c>
      <c r="E159" s="122">
        <v>43607</v>
      </c>
      <c r="F159" s="122">
        <v>1000</v>
      </c>
      <c r="G159" s="227" t="s">
        <v>457</v>
      </c>
      <c r="H159" s="122">
        <v>42607</v>
      </c>
      <c r="I159" s="199">
        <v>0</v>
      </c>
      <c r="J159" s="199">
        <v>0</v>
      </c>
      <c r="K159" s="199">
        <v>0</v>
      </c>
      <c r="L159" s="122">
        <v>42607</v>
      </c>
    </row>
    <row r="160" spans="1:12" ht="30" customHeight="1" x14ac:dyDescent="0.2">
      <c r="A160" s="103" t="s">
        <v>65</v>
      </c>
      <c r="B160" s="198" t="s">
        <v>262</v>
      </c>
      <c r="C160" s="37" t="s">
        <v>263</v>
      </c>
      <c r="D160" s="103">
        <v>370</v>
      </c>
      <c r="E160" s="122">
        <v>227908</v>
      </c>
      <c r="F160" s="122">
        <v>14748</v>
      </c>
      <c r="G160" s="227" t="s">
        <v>457</v>
      </c>
      <c r="H160" s="122">
        <v>213160</v>
      </c>
      <c r="I160" s="199">
        <v>0</v>
      </c>
      <c r="J160" s="199">
        <v>0</v>
      </c>
      <c r="K160" s="199">
        <v>0</v>
      </c>
      <c r="L160" s="122">
        <v>213160</v>
      </c>
    </row>
    <row r="161" spans="1:12" ht="15" customHeight="1" x14ac:dyDescent="0.2">
      <c r="A161" s="103" t="s">
        <v>65</v>
      </c>
      <c r="B161" s="198" t="s">
        <v>219</v>
      </c>
      <c r="C161" s="37" t="s">
        <v>220</v>
      </c>
      <c r="D161" s="103">
        <v>369</v>
      </c>
      <c r="E161" s="122">
        <v>7349646</v>
      </c>
      <c r="F161" s="122">
        <v>5761209</v>
      </c>
      <c r="G161" s="227" t="s">
        <v>457</v>
      </c>
      <c r="H161" s="122">
        <v>1588437</v>
      </c>
      <c r="I161" s="199">
        <v>0</v>
      </c>
      <c r="J161" s="199">
        <v>0</v>
      </c>
      <c r="K161" s="199">
        <v>0</v>
      </c>
      <c r="L161" s="122">
        <v>1588437</v>
      </c>
    </row>
    <row r="162" spans="1:12" ht="30" customHeight="1" x14ac:dyDescent="0.2">
      <c r="A162" s="103" t="s">
        <v>65</v>
      </c>
      <c r="B162" s="198" t="s">
        <v>221</v>
      </c>
      <c r="C162" s="37" t="s">
        <v>222</v>
      </c>
      <c r="D162" s="103">
        <v>172</v>
      </c>
      <c r="E162" s="122">
        <v>3190</v>
      </c>
      <c r="F162" s="122">
        <v>1000</v>
      </c>
      <c r="G162" s="227" t="s">
        <v>457</v>
      </c>
      <c r="H162" s="122">
        <v>2190</v>
      </c>
      <c r="I162" s="199">
        <v>0</v>
      </c>
      <c r="J162" s="199">
        <v>0</v>
      </c>
      <c r="K162" s="199">
        <v>0</v>
      </c>
      <c r="L162" s="122">
        <v>2190</v>
      </c>
    </row>
    <row r="163" spans="1:12" ht="15" customHeight="1" x14ac:dyDescent="0.2">
      <c r="A163" s="103" t="s">
        <v>65</v>
      </c>
      <c r="B163" s="198" t="s">
        <v>273</v>
      </c>
      <c r="C163" s="37" t="s">
        <v>274</v>
      </c>
      <c r="D163" s="103">
        <v>278</v>
      </c>
      <c r="E163" s="122">
        <v>14543</v>
      </c>
      <c r="F163" s="122">
        <v>1039</v>
      </c>
      <c r="G163" s="227" t="s">
        <v>457</v>
      </c>
      <c r="H163" s="122">
        <v>13504</v>
      </c>
      <c r="I163" s="199">
        <v>0</v>
      </c>
      <c r="J163" s="199">
        <v>0</v>
      </c>
      <c r="K163" s="199">
        <v>0</v>
      </c>
      <c r="L163" s="122">
        <v>13504</v>
      </c>
    </row>
    <row r="164" spans="1:12" ht="30" customHeight="1" x14ac:dyDescent="0.2">
      <c r="A164" s="103" t="s">
        <v>65</v>
      </c>
      <c r="B164" s="198" t="s">
        <v>195</v>
      </c>
      <c r="C164" s="37" t="s">
        <v>196</v>
      </c>
      <c r="D164" s="103">
        <v>11</v>
      </c>
      <c r="E164" s="122">
        <v>197395</v>
      </c>
      <c r="F164" s="122">
        <v>22063</v>
      </c>
      <c r="G164" s="227" t="s">
        <v>457</v>
      </c>
      <c r="H164" s="122">
        <v>175332</v>
      </c>
      <c r="I164" s="199">
        <v>0</v>
      </c>
      <c r="J164" s="199">
        <v>0</v>
      </c>
      <c r="K164" s="199">
        <v>0</v>
      </c>
      <c r="L164" s="122">
        <v>175332</v>
      </c>
    </row>
    <row r="165" spans="1:12" ht="15" customHeight="1" x14ac:dyDescent="0.2">
      <c r="A165" s="103" t="s">
        <v>65</v>
      </c>
      <c r="B165" s="198" t="s">
        <v>223</v>
      </c>
      <c r="C165" s="37" t="s">
        <v>224</v>
      </c>
      <c r="D165" s="103">
        <v>313</v>
      </c>
      <c r="E165" s="122">
        <v>32634</v>
      </c>
      <c r="F165" s="122">
        <v>1285</v>
      </c>
      <c r="G165" s="227" t="s">
        <v>457</v>
      </c>
      <c r="H165" s="122">
        <v>31349</v>
      </c>
      <c r="I165" s="199">
        <v>0</v>
      </c>
      <c r="J165" s="199">
        <v>0</v>
      </c>
      <c r="K165" s="199">
        <v>0</v>
      </c>
      <c r="L165" s="122">
        <v>31349</v>
      </c>
    </row>
    <row r="166" spans="1:12" ht="30" customHeight="1" x14ac:dyDescent="0.2">
      <c r="A166" s="103" t="s">
        <v>65</v>
      </c>
      <c r="B166" s="198" t="s">
        <v>225</v>
      </c>
      <c r="C166" s="37" t="s">
        <v>226</v>
      </c>
      <c r="D166" s="103">
        <v>330</v>
      </c>
      <c r="E166" s="122">
        <v>44856</v>
      </c>
      <c r="F166" s="122">
        <v>1000</v>
      </c>
      <c r="G166" s="227" t="s">
        <v>457</v>
      </c>
      <c r="H166" s="122">
        <v>43856</v>
      </c>
      <c r="I166" s="199">
        <v>0</v>
      </c>
      <c r="J166" s="199">
        <v>0</v>
      </c>
      <c r="K166" s="199">
        <v>0</v>
      </c>
      <c r="L166" s="122">
        <v>43856</v>
      </c>
    </row>
    <row r="167" spans="1:12" ht="30" customHeight="1" x14ac:dyDescent="0.2">
      <c r="A167" s="103" t="s">
        <v>65</v>
      </c>
      <c r="B167" s="198" t="s">
        <v>227</v>
      </c>
      <c r="C167" s="37" t="s">
        <v>228</v>
      </c>
      <c r="D167" s="103">
        <v>272</v>
      </c>
      <c r="E167" s="122">
        <v>25635</v>
      </c>
      <c r="F167" s="122">
        <v>1000</v>
      </c>
      <c r="G167" s="227" t="s">
        <v>457</v>
      </c>
      <c r="H167" s="122">
        <v>24635</v>
      </c>
      <c r="I167" s="199">
        <v>0</v>
      </c>
      <c r="J167" s="199">
        <v>0</v>
      </c>
      <c r="K167" s="199">
        <v>0</v>
      </c>
      <c r="L167" s="122">
        <v>24635</v>
      </c>
    </row>
    <row r="168" spans="1:12" ht="30" customHeight="1" x14ac:dyDescent="0.2">
      <c r="A168" s="103" t="s">
        <v>65</v>
      </c>
      <c r="B168" s="198" t="s">
        <v>229</v>
      </c>
      <c r="C168" s="37" t="s">
        <v>230</v>
      </c>
      <c r="D168" s="103">
        <v>276</v>
      </c>
      <c r="E168" s="122">
        <v>1065</v>
      </c>
      <c r="F168" s="122">
        <v>1000</v>
      </c>
      <c r="G168" s="227" t="s">
        <v>457</v>
      </c>
      <c r="H168" s="122">
        <v>65</v>
      </c>
      <c r="I168" s="199">
        <v>0</v>
      </c>
      <c r="J168" s="199">
        <v>0</v>
      </c>
      <c r="K168" s="199">
        <v>0</v>
      </c>
      <c r="L168" s="122">
        <v>65</v>
      </c>
    </row>
    <row r="169" spans="1:12" ht="60" x14ac:dyDescent="0.2">
      <c r="A169" s="103" t="s">
        <v>65</v>
      </c>
      <c r="B169" s="198" t="s">
        <v>231</v>
      </c>
      <c r="C169" s="37" t="s">
        <v>232</v>
      </c>
      <c r="D169" s="103">
        <v>292</v>
      </c>
      <c r="E169" s="122">
        <v>49916</v>
      </c>
      <c r="F169" s="122">
        <v>10004</v>
      </c>
      <c r="G169" s="227" t="s">
        <v>457</v>
      </c>
      <c r="H169" s="122">
        <v>39912</v>
      </c>
      <c r="I169" s="199">
        <v>0</v>
      </c>
      <c r="J169" s="199">
        <v>0</v>
      </c>
      <c r="K169" s="199">
        <v>0</v>
      </c>
      <c r="L169" s="122">
        <v>39912</v>
      </c>
    </row>
    <row r="170" spans="1:12" ht="30" customHeight="1" x14ac:dyDescent="0.2">
      <c r="A170" s="103" t="s">
        <v>65</v>
      </c>
      <c r="B170" s="198" t="s">
        <v>233</v>
      </c>
      <c r="C170" s="37" t="s">
        <v>234</v>
      </c>
      <c r="D170" s="103">
        <v>209</v>
      </c>
      <c r="E170" s="122">
        <v>65899</v>
      </c>
      <c r="F170" s="122">
        <v>1000</v>
      </c>
      <c r="G170" s="227" t="s">
        <v>457</v>
      </c>
      <c r="H170" s="122">
        <v>64899</v>
      </c>
      <c r="I170" s="199">
        <v>0</v>
      </c>
      <c r="J170" s="199">
        <v>0</v>
      </c>
      <c r="K170" s="199">
        <v>0</v>
      </c>
      <c r="L170" s="122">
        <v>64899</v>
      </c>
    </row>
    <row r="171" spans="1:12" ht="15" customHeight="1" x14ac:dyDescent="0.2">
      <c r="A171" s="103" t="s">
        <v>65</v>
      </c>
      <c r="B171" s="198" t="s">
        <v>235</v>
      </c>
      <c r="C171" s="37" t="s">
        <v>236</v>
      </c>
      <c r="D171" s="103">
        <v>183</v>
      </c>
      <c r="E171" s="122">
        <v>6458</v>
      </c>
      <c r="F171" s="122">
        <v>1000</v>
      </c>
      <c r="G171" s="227" t="s">
        <v>457</v>
      </c>
      <c r="H171" s="122">
        <v>5458</v>
      </c>
      <c r="I171" s="199">
        <v>0</v>
      </c>
      <c r="J171" s="199">
        <v>0</v>
      </c>
      <c r="K171" s="199">
        <v>0</v>
      </c>
      <c r="L171" s="122">
        <v>5458</v>
      </c>
    </row>
    <row r="172" spans="1:12" ht="15" customHeight="1" x14ac:dyDescent="0.2">
      <c r="A172" s="103" t="s">
        <v>65</v>
      </c>
      <c r="B172" s="198" t="s">
        <v>264</v>
      </c>
      <c r="C172" s="37" t="s">
        <v>265</v>
      </c>
      <c r="D172" s="103">
        <v>251</v>
      </c>
      <c r="E172" s="122">
        <v>3050</v>
      </c>
      <c r="F172" s="122">
        <v>1000</v>
      </c>
      <c r="G172" s="227" t="s">
        <v>457</v>
      </c>
      <c r="H172" s="122">
        <v>2050</v>
      </c>
      <c r="I172" s="199">
        <v>0</v>
      </c>
      <c r="J172" s="199">
        <v>0</v>
      </c>
      <c r="K172" s="199">
        <v>0</v>
      </c>
      <c r="L172" s="122">
        <v>2050</v>
      </c>
    </row>
    <row r="173" spans="1:12" ht="15" customHeight="1" x14ac:dyDescent="0.2">
      <c r="A173" s="103" t="s">
        <v>65</v>
      </c>
      <c r="B173" s="198" t="s">
        <v>237</v>
      </c>
      <c r="C173" s="37" t="s">
        <v>208</v>
      </c>
      <c r="D173" s="103">
        <v>192</v>
      </c>
      <c r="E173" s="122">
        <v>15289</v>
      </c>
      <c r="F173" s="122">
        <v>1000</v>
      </c>
      <c r="G173" s="227" t="s">
        <v>457</v>
      </c>
      <c r="H173" s="122">
        <v>14289</v>
      </c>
      <c r="I173" s="199">
        <v>0</v>
      </c>
      <c r="J173" s="199">
        <v>0</v>
      </c>
      <c r="K173" s="199">
        <v>0</v>
      </c>
      <c r="L173" s="122">
        <v>14289</v>
      </c>
    </row>
    <row r="174" spans="1:12" ht="15" customHeight="1" x14ac:dyDescent="0.2">
      <c r="A174" s="103" t="s">
        <v>65</v>
      </c>
      <c r="B174" s="198" t="s">
        <v>238</v>
      </c>
      <c r="C174" s="37" t="s">
        <v>239</v>
      </c>
      <c r="D174" s="103">
        <v>297</v>
      </c>
      <c r="E174" s="122">
        <v>1359936</v>
      </c>
      <c r="F174" s="122">
        <v>184451</v>
      </c>
      <c r="G174" s="227" t="s">
        <v>457</v>
      </c>
      <c r="H174" s="122">
        <v>1175485</v>
      </c>
      <c r="I174" s="199">
        <v>0</v>
      </c>
      <c r="J174" s="199">
        <v>0</v>
      </c>
      <c r="K174" s="199">
        <v>0</v>
      </c>
      <c r="L174" s="122">
        <v>1175485</v>
      </c>
    </row>
    <row r="175" spans="1:12" ht="15" customHeight="1" x14ac:dyDescent="0.2">
      <c r="A175" s="103" t="s">
        <v>65</v>
      </c>
      <c r="B175" s="198" t="s">
        <v>240</v>
      </c>
      <c r="C175" s="37" t="s">
        <v>241</v>
      </c>
      <c r="D175" s="103">
        <v>166</v>
      </c>
      <c r="E175" s="122">
        <v>119567</v>
      </c>
      <c r="F175" s="122">
        <v>26708</v>
      </c>
      <c r="G175" s="227" t="s">
        <v>457</v>
      </c>
      <c r="H175" s="122">
        <v>92859</v>
      </c>
      <c r="I175" s="199">
        <v>0</v>
      </c>
      <c r="J175" s="199">
        <v>0</v>
      </c>
      <c r="K175" s="199">
        <v>0</v>
      </c>
      <c r="L175" s="122">
        <v>92859</v>
      </c>
    </row>
    <row r="176" spans="1:12" ht="15" customHeight="1" x14ac:dyDescent="0.2">
      <c r="A176" s="103" t="s">
        <v>65</v>
      </c>
      <c r="B176" s="198" t="s">
        <v>242</v>
      </c>
      <c r="C176" s="37" t="s">
        <v>243</v>
      </c>
      <c r="D176" s="103">
        <v>32</v>
      </c>
      <c r="E176" s="122">
        <v>20932</v>
      </c>
      <c r="F176" s="122">
        <v>5404</v>
      </c>
      <c r="G176" s="227" t="s">
        <v>457</v>
      </c>
      <c r="H176" s="122">
        <v>15528</v>
      </c>
      <c r="I176" s="199">
        <v>0</v>
      </c>
      <c r="J176" s="199">
        <v>0</v>
      </c>
      <c r="K176" s="199">
        <v>0</v>
      </c>
      <c r="L176" s="122">
        <v>15528</v>
      </c>
    </row>
    <row r="177" spans="1:12" ht="15" customHeight="1" x14ac:dyDescent="0.2">
      <c r="A177" s="103" t="s">
        <v>65</v>
      </c>
      <c r="B177" s="198" t="s">
        <v>244</v>
      </c>
      <c r="C177" s="37" t="s">
        <v>245</v>
      </c>
      <c r="D177" s="103">
        <v>368</v>
      </c>
      <c r="E177" s="122">
        <v>15862</v>
      </c>
      <c r="F177" s="122">
        <v>2085</v>
      </c>
      <c r="G177" s="227" t="s">
        <v>457</v>
      </c>
      <c r="H177" s="122">
        <v>13777</v>
      </c>
      <c r="I177" s="199">
        <v>0</v>
      </c>
      <c r="J177" s="199">
        <v>0</v>
      </c>
      <c r="K177" s="199">
        <v>0</v>
      </c>
      <c r="L177" s="122">
        <v>13777</v>
      </c>
    </row>
    <row r="178" spans="1:12" ht="15" customHeight="1" x14ac:dyDescent="0.2">
      <c r="A178" s="103" t="s">
        <v>65</v>
      </c>
      <c r="B178" s="198" t="s">
        <v>246</v>
      </c>
      <c r="C178" s="37" t="s">
        <v>247</v>
      </c>
      <c r="D178" s="103">
        <v>357</v>
      </c>
      <c r="E178" s="122">
        <v>12194</v>
      </c>
      <c r="F178" s="122">
        <v>1000</v>
      </c>
      <c r="G178" s="227" t="s">
        <v>457</v>
      </c>
      <c r="H178" s="122">
        <v>11194</v>
      </c>
      <c r="I178" s="199">
        <v>0</v>
      </c>
      <c r="J178" s="199">
        <v>0</v>
      </c>
      <c r="K178" s="199">
        <v>0</v>
      </c>
      <c r="L178" s="122">
        <v>11194</v>
      </c>
    </row>
    <row r="179" spans="1:12" ht="15" customHeight="1" x14ac:dyDescent="0.2">
      <c r="A179" s="103" t="s">
        <v>65</v>
      </c>
      <c r="B179" s="198" t="s">
        <v>248</v>
      </c>
      <c r="C179" s="37" t="s">
        <v>249</v>
      </c>
      <c r="D179" s="103">
        <v>153</v>
      </c>
      <c r="E179" s="122">
        <v>3284</v>
      </c>
      <c r="F179" s="122">
        <v>1000</v>
      </c>
      <c r="G179" s="227" t="s">
        <v>457</v>
      </c>
      <c r="H179" s="122">
        <v>2284</v>
      </c>
      <c r="I179" s="199">
        <v>0</v>
      </c>
      <c r="J179" s="199">
        <v>0</v>
      </c>
      <c r="K179" s="199">
        <v>0</v>
      </c>
      <c r="L179" s="122">
        <v>2284</v>
      </c>
    </row>
    <row r="180" spans="1:12" ht="15" customHeight="1" x14ac:dyDescent="0.2">
      <c r="A180" s="103" t="s">
        <v>65</v>
      </c>
      <c r="B180" s="198" t="s">
        <v>250</v>
      </c>
      <c r="C180" s="37" t="s">
        <v>239</v>
      </c>
      <c r="D180" s="103">
        <v>48</v>
      </c>
      <c r="E180" s="122">
        <v>141608</v>
      </c>
      <c r="F180" s="122">
        <v>46317</v>
      </c>
      <c r="G180" s="227" t="s">
        <v>457</v>
      </c>
      <c r="H180" s="122">
        <v>95291</v>
      </c>
      <c r="I180" s="199">
        <v>0</v>
      </c>
      <c r="J180" s="199">
        <v>0</v>
      </c>
      <c r="K180" s="199">
        <v>0</v>
      </c>
      <c r="L180" s="122">
        <v>95291</v>
      </c>
    </row>
    <row r="181" spans="1:12" ht="15" customHeight="1" x14ac:dyDescent="0.2">
      <c r="A181" s="103" t="s">
        <v>65</v>
      </c>
      <c r="B181" s="198" t="s">
        <v>268</v>
      </c>
      <c r="C181" s="37" t="s">
        <v>269</v>
      </c>
      <c r="D181" s="103">
        <v>173</v>
      </c>
      <c r="E181" s="122">
        <v>21944</v>
      </c>
      <c r="F181" s="122">
        <v>5333</v>
      </c>
      <c r="G181" s="227" t="s">
        <v>457</v>
      </c>
      <c r="H181" s="122">
        <v>16611</v>
      </c>
      <c r="I181" s="199">
        <v>0</v>
      </c>
      <c r="J181" s="199">
        <v>0</v>
      </c>
      <c r="K181" s="199">
        <v>0</v>
      </c>
      <c r="L181" s="122">
        <v>16611</v>
      </c>
    </row>
    <row r="182" spans="1:12" ht="15" customHeight="1" x14ac:dyDescent="0.2">
      <c r="A182" s="103" t="s">
        <v>65</v>
      </c>
      <c r="B182" s="198" t="s">
        <v>275</v>
      </c>
      <c r="C182" s="37" t="s">
        <v>276</v>
      </c>
      <c r="D182" s="103">
        <v>261</v>
      </c>
      <c r="E182" s="122">
        <v>2385</v>
      </c>
      <c r="F182" s="122">
        <v>1000</v>
      </c>
      <c r="G182" s="227" t="s">
        <v>457</v>
      </c>
      <c r="H182" s="122">
        <v>1385</v>
      </c>
      <c r="I182" s="199">
        <v>0</v>
      </c>
      <c r="J182" s="199">
        <v>0</v>
      </c>
      <c r="K182" s="199">
        <v>0</v>
      </c>
      <c r="L182" s="122">
        <v>1385</v>
      </c>
    </row>
    <row r="183" spans="1:12" ht="15" customHeight="1" x14ac:dyDescent="0.2">
      <c r="A183" s="103" t="s">
        <v>65</v>
      </c>
      <c r="B183" s="198" t="s">
        <v>270</v>
      </c>
      <c r="C183" s="37" t="s">
        <v>256</v>
      </c>
      <c r="D183" s="103">
        <v>244</v>
      </c>
      <c r="E183" s="122">
        <v>7579</v>
      </c>
      <c r="F183" s="122">
        <v>2017</v>
      </c>
      <c r="G183" s="227" t="s">
        <v>457</v>
      </c>
      <c r="H183" s="122">
        <v>5562</v>
      </c>
      <c r="I183" s="199">
        <v>0</v>
      </c>
      <c r="J183" s="199">
        <v>0</v>
      </c>
      <c r="K183" s="199">
        <v>0</v>
      </c>
      <c r="L183" s="122">
        <v>5562</v>
      </c>
    </row>
    <row r="184" spans="1:12" ht="15" customHeight="1" x14ac:dyDescent="0.2">
      <c r="A184" s="103" t="s">
        <v>65</v>
      </c>
      <c r="B184" s="198" t="s">
        <v>253</v>
      </c>
      <c r="C184" s="37" t="s">
        <v>254</v>
      </c>
      <c r="D184" s="103">
        <v>171</v>
      </c>
      <c r="E184" s="122">
        <v>18873</v>
      </c>
      <c r="F184" s="122">
        <v>3510</v>
      </c>
      <c r="G184" s="227" t="s">
        <v>457</v>
      </c>
      <c r="H184" s="122">
        <v>15363</v>
      </c>
      <c r="I184" s="199">
        <v>0</v>
      </c>
      <c r="J184" s="199">
        <v>0</v>
      </c>
      <c r="K184" s="199">
        <v>0</v>
      </c>
      <c r="L184" s="122">
        <v>15363</v>
      </c>
    </row>
    <row r="185" spans="1:12" ht="15" customHeight="1" x14ac:dyDescent="0.2">
      <c r="A185" s="103" t="s">
        <v>65</v>
      </c>
      <c r="B185" s="198" t="s">
        <v>255</v>
      </c>
      <c r="C185" s="37" t="s">
        <v>256</v>
      </c>
      <c r="D185" s="103">
        <v>258</v>
      </c>
      <c r="E185" s="122">
        <v>62743</v>
      </c>
      <c r="F185" s="122">
        <v>4325</v>
      </c>
      <c r="G185" s="227" t="s">
        <v>457</v>
      </c>
      <c r="H185" s="122">
        <v>58418</v>
      </c>
      <c r="I185" s="199">
        <v>0</v>
      </c>
      <c r="J185" s="199">
        <v>0</v>
      </c>
      <c r="K185" s="199">
        <v>0</v>
      </c>
      <c r="L185" s="122">
        <v>58418</v>
      </c>
    </row>
    <row r="186" spans="1:12" ht="15" customHeight="1" x14ac:dyDescent="0.2">
      <c r="A186" s="103" t="s">
        <v>65</v>
      </c>
      <c r="B186" s="198" t="s">
        <v>257</v>
      </c>
      <c r="C186" s="37" t="s">
        <v>239</v>
      </c>
      <c r="D186" s="103">
        <v>260</v>
      </c>
      <c r="E186" s="122">
        <v>165974</v>
      </c>
      <c r="F186" s="122">
        <v>38220</v>
      </c>
      <c r="G186" s="227" t="s">
        <v>457</v>
      </c>
      <c r="H186" s="122">
        <v>127754</v>
      </c>
      <c r="I186" s="199">
        <v>0</v>
      </c>
      <c r="J186" s="199">
        <v>0</v>
      </c>
      <c r="K186" s="199">
        <v>0</v>
      </c>
      <c r="L186" s="122">
        <v>127754</v>
      </c>
    </row>
    <row r="187" spans="1:12" ht="15" customHeight="1" x14ac:dyDescent="0.2">
      <c r="A187" s="103" t="s">
        <v>65</v>
      </c>
      <c r="B187" s="198" t="s">
        <v>258</v>
      </c>
      <c r="C187" s="37" t="s">
        <v>259</v>
      </c>
      <c r="D187" s="103">
        <v>367</v>
      </c>
      <c r="E187" s="122">
        <v>7654541</v>
      </c>
      <c r="F187" s="122">
        <v>4951823</v>
      </c>
      <c r="G187" s="227" t="s">
        <v>457</v>
      </c>
      <c r="H187" s="122">
        <v>2702718</v>
      </c>
      <c r="I187" s="199">
        <v>0</v>
      </c>
      <c r="J187" s="199">
        <v>0</v>
      </c>
      <c r="K187" s="199">
        <v>0</v>
      </c>
      <c r="L187" s="122">
        <v>2702718</v>
      </c>
    </row>
    <row r="188" spans="1:12" s="229" customFormat="1" ht="15" customHeight="1" x14ac:dyDescent="0.2">
      <c r="A188" s="103" t="s">
        <v>65</v>
      </c>
      <c r="B188" s="198" t="s">
        <v>271</v>
      </c>
      <c r="C188" s="37" t="s">
        <v>272</v>
      </c>
      <c r="D188" s="103">
        <v>346</v>
      </c>
      <c r="E188" s="122">
        <v>17010</v>
      </c>
      <c r="F188" s="122">
        <v>1000</v>
      </c>
      <c r="G188" s="227" t="s">
        <v>457</v>
      </c>
      <c r="H188" s="122">
        <v>16010</v>
      </c>
      <c r="I188" s="199">
        <v>0</v>
      </c>
      <c r="J188" s="199">
        <v>0</v>
      </c>
      <c r="K188" s="199">
        <v>0</v>
      </c>
      <c r="L188" s="122">
        <v>16010</v>
      </c>
    </row>
    <row r="189" spans="1:12" ht="15" customHeight="1" x14ac:dyDescent="0.2">
      <c r="A189" s="103" t="s">
        <v>65</v>
      </c>
      <c r="B189" s="198" t="s">
        <v>260</v>
      </c>
      <c r="C189" s="37" t="s">
        <v>261</v>
      </c>
      <c r="D189" s="103">
        <v>351</v>
      </c>
      <c r="E189" s="122">
        <v>11236</v>
      </c>
      <c r="F189" s="122">
        <v>1000</v>
      </c>
      <c r="G189" s="227" t="s">
        <v>457</v>
      </c>
      <c r="H189" s="122">
        <v>10236</v>
      </c>
      <c r="I189" s="199">
        <v>0</v>
      </c>
      <c r="J189" s="199">
        <v>0</v>
      </c>
      <c r="K189" s="199">
        <v>0</v>
      </c>
      <c r="L189" s="122">
        <v>10236</v>
      </c>
    </row>
    <row r="190" spans="1:12" ht="15" customHeight="1" x14ac:dyDescent="0.2">
      <c r="A190" s="206" t="s">
        <v>377</v>
      </c>
      <c r="B190" s="228" t="s">
        <v>457</v>
      </c>
      <c r="C190" s="228" t="s">
        <v>457</v>
      </c>
      <c r="D190" s="228" t="s">
        <v>457</v>
      </c>
      <c r="E190" s="117">
        <f>SUBTOTAL(109,school201617[Program
Costs])</f>
        <v>17717962</v>
      </c>
      <c r="F190" s="117">
        <f>SUBTOTAL(109,school201617[Less: Net
 Payments and 
Offsets 2])</f>
        <v>11095541</v>
      </c>
      <c r="G190" s="228" t="s">
        <v>457</v>
      </c>
      <c r="H190" s="117">
        <f>SUBTOTAL(109,school201617[Accounts Payable
Balance])</f>
        <v>6622421</v>
      </c>
      <c r="I190" s="204">
        <f>SUBTOTAL(109,school201617[Established
Accounts Receivable])</f>
        <v>0</v>
      </c>
      <c r="J190" s="204">
        <f>SUBTOTAL(109,school201617[Less: 
Recovered 
Amount])</f>
        <v>0</v>
      </c>
      <c r="K190" s="204">
        <f>SUBTOTAL(109,school201617[Accounts Receivable
Balance])</f>
        <v>0</v>
      </c>
      <c r="L190" s="117">
        <f>SUBTOTAL(109,school201617[Net
Balance])</f>
        <v>6622421</v>
      </c>
    </row>
    <row r="191" spans="1:12" ht="15.75" customHeight="1" x14ac:dyDescent="0.2">
      <c r="A191" s="169" t="s">
        <v>463</v>
      </c>
      <c r="B191" s="198"/>
      <c r="C191" s="37"/>
      <c r="D191" s="103"/>
      <c r="E191" s="122"/>
      <c r="F191" s="122"/>
      <c r="G191" s="122"/>
      <c r="H191" s="122"/>
      <c r="I191" s="122"/>
      <c r="J191" s="122"/>
      <c r="K191" s="122"/>
      <c r="L191" s="122"/>
    </row>
    <row r="192" spans="1:12" ht="50.1" customHeight="1" x14ac:dyDescent="0.2">
      <c r="A192" s="40" t="s">
        <v>1</v>
      </c>
      <c r="B192" s="40" t="s">
        <v>15</v>
      </c>
      <c r="C192" s="40" t="s">
        <v>16</v>
      </c>
      <c r="D192" s="40" t="s">
        <v>454</v>
      </c>
      <c r="E192" s="230" t="s">
        <v>3</v>
      </c>
      <c r="F192" s="231" t="s">
        <v>592</v>
      </c>
      <c r="G192" s="232" t="s">
        <v>462</v>
      </c>
      <c r="H192" s="230" t="s">
        <v>461</v>
      </c>
      <c r="I192" s="197" t="s">
        <v>460</v>
      </c>
      <c r="J192" s="230" t="s">
        <v>459</v>
      </c>
      <c r="K192" s="230" t="s">
        <v>458</v>
      </c>
      <c r="L192" s="230" t="s">
        <v>17</v>
      </c>
    </row>
    <row r="193" spans="1:12" ht="15" customHeight="1" x14ac:dyDescent="0.2">
      <c r="A193" s="103" t="s">
        <v>66</v>
      </c>
      <c r="B193" s="198" t="s">
        <v>277</v>
      </c>
      <c r="C193" s="37" t="s">
        <v>278</v>
      </c>
      <c r="D193" s="103">
        <v>305</v>
      </c>
      <c r="E193" s="122">
        <v>1090</v>
      </c>
      <c r="F193" s="122">
        <v>1000</v>
      </c>
      <c r="G193" s="227" t="s">
        <v>457</v>
      </c>
      <c r="H193" s="122">
        <v>90</v>
      </c>
      <c r="I193" s="199">
        <v>0</v>
      </c>
      <c r="J193" s="199">
        <v>0</v>
      </c>
      <c r="K193" s="199">
        <v>0</v>
      </c>
      <c r="L193" s="122">
        <v>90</v>
      </c>
    </row>
    <row r="194" spans="1:12" ht="15" customHeight="1" x14ac:dyDescent="0.2">
      <c r="A194" s="103" t="s">
        <v>66</v>
      </c>
      <c r="B194" s="198" t="s">
        <v>217</v>
      </c>
      <c r="C194" s="37" t="s">
        <v>218</v>
      </c>
      <c r="D194" s="103">
        <v>250</v>
      </c>
      <c r="E194" s="122">
        <v>77440</v>
      </c>
      <c r="F194" s="122">
        <v>1000</v>
      </c>
      <c r="G194" s="227" t="s">
        <v>457</v>
      </c>
      <c r="H194" s="122">
        <v>76440</v>
      </c>
      <c r="I194" s="199">
        <v>0</v>
      </c>
      <c r="J194" s="199">
        <v>0</v>
      </c>
      <c r="K194" s="199">
        <v>0</v>
      </c>
      <c r="L194" s="122">
        <v>76440</v>
      </c>
    </row>
    <row r="195" spans="1:12" ht="15" customHeight="1" x14ac:dyDescent="0.2">
      <c r="A195" s="103" t="s">
        <v>66</v>
      </c>
      <c r="B195" s="198" t="s">
        <v>262</v>
      </c>
      <c r="C195" s="37" t="s">
        <v>263</v>
      </c>
      <c r="D195" s="103">
        <v>370</v>
      </c>
      <c r="E195" s="122">
        <v>182254</v>
      </c>
      <c r="F195" s="122">
        <v>9975</v>
      </c>
      <c r="G195" s="227" t="s">
        <v>457</v>
      </c>
      <c r="H195" s="122">
        <v>172279</v>
      </c>
      <c r="I195" s="199">
        <v>0</v>
      </c>
      <c r="J195" s="199">
        <v>0</v>
      </c>
      <c r="K195" s="199">
        <v>0</v>
      </c>
      <c r="L195" s="122">
        <v>172279</v>
      </c>
    </row>
    <row r="196" spans="1:12" ht="30" customHeight="1" x14ac:dyDescent="0.2">
      <c r="A196" s="103" t="s">
        <v>66</v>
      </c>
      <c r="B196" s="198" t="s">
        <v>219</v>
      </c>
      <c r="C196" s="37" t="s">
        <v>220</v>
      </c>
      <c r="D196" s="103">
        <v>369</v>
      </c>
      <c r="E196" s="122">
        <v>20492440</v>
      </c>
      <c r="F196" s="122">
        <v>19244560</v>
      </c>
      <c r="G196" s="227" t="s">
        <v>457</v>
      </c>
      <c r="H196" s="122">
        <v>1247880</v>
      </c>
      <c r="I196" s="122">
        <v>1000</v>
      </c>
      <c r="J196" s="199">
        <v>0</v>
      </c>
      <c r="K196" s="122">
        <v>1000</v>
      </c>
      <c r="L196" s="122">
        <v>1246880</v>
      </c>
    </row>
    <row r="197" spans="1:12" ht="30" customHeight="1" x14ac:dyDescent="0.2">
      <c r="A197" s="103" t="s">
        <v>66</v>
      </c>
      <c r="B197" s="198" t="s">
        <v>221</v>
      </c>
      <c r="C197" s="37" t="s">
        <v>222</v>
      </c>
      <c r="D197" s="103">
        <v>172</v>
      </c>
      <c r="E197" s="122">
        <v>8527</v>
      </c>
      <c r="F197" s="122">
        <v>1000</v>
      </c>
      <c r="G197" s="227" t="s">
        <v>457</v>
      </c>
      <c r="H197" s="122">
        <v>7527</v>
      </c>
      <c r="I197" s="199">
        <v>0</v>
      </c>
      <c r="J197" s="199">
        <v>0</v>
      </c>
      <c r="K197" s="199">
        <v>0</v>
      </c>
      <c r="L197" s="122">
        <v>7527</v>
      </c>
    </row>
    <row r="198" spans="1:12" ht="15" customHeight="1" x14ac:dyDescent="0.2">
      <c r="A198" s="103" t="s">
        <v>66</v>
      </c>
      <c r="B198" s="198" t="s">
        <v>279</v>
      </c>
      <c r="C198" s="37" t="s">
        <v>280</v>
      </c>
      <c r="D198" s="103">
        <v>309</v>
      </c>
      <c r="E198" s="122">
        <v>1289</v>
      </c>
      <c r="F198" s="122">
        <v>1000</v>
      </c>
      <c r="G198" s="227" t="s">
        <v>457</v>
      </c>
      <c r="H198" s="122">
        <v>289</v>
      </c>
      <c r="I198" s="199">
        <v>0</v>
      </c>
      <c r="J198" s="199">
        <v>0</v>
      </c>
      <c r="K198" s="199">
        <v>0</v>
      </c>
      <c r="L198" s="122">
        <v>289</v>
      </c>
    </row>
    <row r="199" spans="1:12" ht="30" customHeight="1" x14ac:dyDescent="0.2">
      <c r="A199" s="103" t="s">
        <v>66</v>
      </c>
      <c r="B199" s="198" t="s">
        <v>195</v>
      </c>
      <c r="C199" s="37" t="s">
        <v>196</v>
      </c>
      <c r="D199" s="103">
        <v>11</v>
      </c>
      <c r="E199" s="122">
        <v>287701</v>
      </c>
      <c r="F199" s="122">
        <v>76959</v>
      </c>
      <c r="G199" s="227" t="s">
        <v>457</v>
      </c>
      <c r="H199" s="122">
        <v>210742</v>
      </c>
      <c r="I199" s="199">
        <v>0</v>
      </c>
      <c r="J199" s="199">
        <v>0</v>
      </c>
      <c r="K199" s="199">
        <v>0</v>
      </c>
      <c r="L199" s="122">
        <v>210742</v>
      </c>
    </row>
    <row r="200" spans="1:12" ht="15" customHeight="1" x14ac:dyDescent="0.2">
      <c r="A200" s="103" t="s">
        <v>66</v>
      </c>
      <c r="B200" s="198" t="s">
        <v>223</v>
      </c>
      <c r="C200" s="37" t="s">
        <v>224</v>
      </c>
      <c r="D200" s="103">
        <v>313</v>
      </c>
      <c r="E200" s="122">
        <v>37448</v>
      </c>
      <c r="F200" s="122">
        <v>7612</v>
      </c>
      <c r="G200" s="227" t="s">
        <v>457</v>
      </c>
      <c r="H200" s="122">
        <v>29836</v>
      </c>
      <c r="I200" s="199">
        <v>0</v>
      </c>
      <c r="J200" s="199">
        <v>0</v>
      </c>
      <c r="K200" s="199">
        <v>0</v>
      </c>
      <c r="L200" s="122">
        <v>29836</v>
      </c>
    </row>
    <row r="201" spans="1:12" ht="30" customHeight="1" x14ac:dyDescent="0.2">
      <c r="A201" s="103" t="s">
        <v>66</v>
      </c>
      <c r="B201" s="198" t="s">
        <v>225</v>
      </c>
      <c r="C201" s="37" t="s">
        <v>226</v>
      </c>
      <c r="D201" s="103">
        <v>330</v>
      </c>
      <c r="E201" s="122">
        <v>69675</v>
      </c>
      <c r="F201" s="122">
        <v>9406</v>
      </c>
      <c r="G201" s="227" t="s">
        <v>457</v>
      </c>
      <c r="H201" s="122">
        <v>60269</v>
      </c>
      <c r="I201" s="199">
        <v>0</v>
      </c>
      <c r="J201" s="199">
        <v>0</v>
      </c>
      <c r="K201" s="199">
        <v>0</v>
      </c>
      <c r="L201" s="122">
        <v>60269</v>
      </c>
    </row>
    <row r="202" spans="1:12" ht="30" customHeight="1" x14ac:dyDescent="0.2">
      <c r="A202" s="103" t="s">
        <v>66</v>
      </c>
      <c r="B202" s="198" t="s">
        <v>227</v>
      </c>
      <c r="C202" s="37" t="s">
        <v>228</v>
      </c>
      <c r="D202" s="103">
        <v>272</v>
      </c>
      <c r="E202" s="122">
        <v>34310</v>
      </c>
      <c r="F202" s="122">
        <v>2379</v>
      </c>
      <c r="G202" s="227" t="s">
        <v>457</v>
      </c>
      <c r="H202" s="122">
        <v>31931</v>
      </c>
      <c r="I202" s="199">
        <v>0</v>
      </c>
      <c r="J202" s="199">
        <v>0</v>
      </c>
      <c r="K202" s="199">
        <v>0</v>
      </c>
      <c r="L202" s="122">
        <v>31931</v>
      </c>
    </row>
    <row r="203" spans="1:12" ht="30" customHeight="1" x14ac:dyDescent="0.2">
      <c r="A203" s="103" t="s">
        <v>66</v>
      </c>
      <c r="B203" s="198" t="s">
        <v>229</v>
      </c>
      <c r="C203" s="37" t="s">
        <v>230</v>
      </c>
      <c r="D203" s="103">
        <v>276</v>
      </c>
      <c r="E203" s="122">
        <v>8772</v>
      </c>
      <c r="F203" s="122">
        <v>2009</v>
      </c>
      <c r="G203" s="227" t="s">
        <v>457</v>
      </c>
      <c r="H203" s="122">
        <v>6763</v>
      </c>
      <c r="I203" s="199">
        <v>0</v>
      </c>
      <c r="J203" s="199">
        <v>0</v>
      </c>
      <c r="K203" s="199">
        <v>0</v>
      </c>
      <c r="L203" s="122">
        <v>6763</v>
      </c>
    </row>
    <row r="204" spans="1:12" ht="60" x14ac:dyDescent="0.2">
      <c r="A204" s="103" t="s">
        <v>66</v>
      </c>
      <c r="B204" s="198" t="s">
        <v>231</v>
      </c>
      <c r="C204" s="37" t="s">
        <v>232</v>
      </c>
      <c r="D204" s="103">
        <v>292</v>
      </c>
      <c r="E204" s="122">
        <v>76559</v>
      </c>
      <c r="F204" s="122">
        <v>18907</v>
      </c>
      <c r="G204" s="227" t="s">
        <v>457</v>
      </c>
      <c r="H204" s="122">
        <v>57652</v>
      </c>
      <c r="I204" s="199">
        <v>0</v>
      </c>
      <c r="J204" s="199">
        <v>0</v>
      </c>
      <c r="K204" s="199">
        <v>0</v>
      </c>
      <c r="L204" s="122">
        <v>57652</v>
      </c>
    </row>
    <row r="205" spans="1:12" ht="30" customHeight="1" x14ac:dyDescent="0.2">
      <c r="A205" s="103" t="s">
        <v>66</v>
      </c>
      <c r="B205" s="198" t="s">
        <v>233</v>
      </c>
      <c r="C205" s="37" t="s">
        <v>234</v>
      </c>
      <c r="D205" s="103">
        <v>209</v>
      </c>
      <c r="E205" s="122">
        <v>46239</v>
      </c>
      <c r="F205" s="122">
        <v>1000</v>
      </c>
      <c r="G205" s="227" t="s">
        <v>457</v>
      </c>
      <c r="H205" s="122">
        <v>45239</v>
      </c>
      <c r="I205" s="199">
        <v>0</v>
      </c>
      <c r="J205" s="199">
        <v>0</v>
      </c>
      <c r="K205" s="199">
        <v>0</v>
      </c>
      <c r="L205" s="122">
        <v>45239</v>
      </c>
    </row>
    <row r="206" spans="1:12" ht="15" customHeight="1" x14ac:dyDescent="0.2">
      <c r="A206" s="103" t="s">
        <v>66</v>
      </c>
      <c r="B206" s="198" t="s">
        <v>235</v>
      </c>
      <c r="C206" s="37" t="s">
        <v>236</v>
      </c>
      <c r="D206" s="103">
        <v>183</v>
      </c>
      <c r="E206" s="122">
        <v>8422</v>
      </c>
      <c r="F206" s="122">
        <v>1000</v>
      </c>
      <c r="G206" s="227" t="s">
        <v>457</v>
      </c>
      <c r="H206" s="122">
        <v>7422</v>
      </c>
      <c r="I206" s="199">
        <v>0</v>
      </c>
      <c r="J206" s="199">
        <v>0</v>
      </c>
      <c r="K206" s="199">
        <v>0</v>
      </c>
      <c r="L206" s="122">
        <v>7422</v>
      </c>
    </row>
    <row r="207" spans="1:12" ht="15" customHeight="1" x14ac:dyDescent="0.2">
      <c r="A207" s="103" t="s">
        <v>66</v>
      </c>
      <c r="B207" s="198" t="s">
        <v>264</v>
      </c>
      <c r="C207" s="37" t="s">
        <v>265</v>
      </c>
      <c r="D207" s="103">
        <v>251</v>
      </c>
      <c r="E207" s="122">
        <v>4049</v>
      </c>
      <c r="F207" s="122">
        <v>2448</v>
      </c>
      <c r="G207" s="227" t="s">
        <v>457</v>
      </c>
      <c r="H207" s="122">
        <v>1601</v>
      </c>
      <c r="I207" s="199">
        <v>0</v>
      </c>
      <c r="J207" s="199">
        <v>0</v>
      </c>
      <c r="K207" s="199">
        <v>0</v>
      </c>
      <c r="L207" s="122">
        <v>1601</v>
      </c>
    </row>
    <row r="208" spans="1:12" ht="15" customHeight="1" x14ac:dyDescent="0.2">
      <c r="A208" s="103" t="s">
        <v>66</v>
      </c>
      <c r="B208" s="198" t="s">
        <v>237</v>
      </c>
      <c r="C208" s="37" t="s">
        <v>208</v>
      </c>
      <c r="D208" s="103">
        <v>192</v>
      </c>
      <c r="E208" s="122">
        <v>13092</v>
      </c>
      <c r="F208" s="122">
        <v>1000</v>
      </c>
      <c r="G208" s="227" t="s">
        <v>457</v>
      </c>
      <c r="H208" s="122">
        <v>12092</v>
      </c>
      <c r="I208" s="199">
        <v>0</v>
      </c>
      <c r="J208" s="199">
        <v>0</v>
      </c>
      <c r="K208" s="199">
        <v>0</v>
      </c>
      <c r="L208" s="122">
        <v>12092</v>
      </c>
    </row>
    <row r="209" spans="1:12" ht="15" customHeight="1" x14ac:dyDescent="0.2">
      <c r="A209" s="103" t="s">
        <v>66</v>
      </c>
      <c r="B209" s="198" t="s">
        <v>238</v>
      </c>
      <c r="C209" s="37" t="s">
        <v>239</v>
      </c>
      <c r="D209" s="103">
        <v>297</v>
      </c>
      <c r="E209" s="122">
        <v>4243786</v>
      </c>
      <c r="F209" s="122">
        <v>289359</v>
      </c>
      <c r="G209" s="227" t="s">
        <v>457</v>
      </c>
      <c r="H209" s="122">
        <v>3954427</v>
      </c>
      <c r="I209" s="199">
        <v>0</v>
      </c>
      <c r="J209" s="199">
        <v>0</v>
      </c>
      <c r="K209" s="199">
        <v>0</v>
      </c>
      <c r="L209" s="122">
        <v>3954427</v>
      </c>
    </row>
    <row r="210" spans="1:12" ht="15" customHeight="1" x14ac:dyDescent="0.2">
      <c r="A210" s="103" t="s">
        <v>66</v>
      </c>
      <c r="B210" s="198" t="s">
        <v>240</v>
      </c>
      <c r="C210" s="37" t="s">
        <v>241</v>
      </c>
      <c r="D210" s="103">
        <v>166</v>
      </c>
      <c r="E210" s="122">
        <v>138669</v>
      </c>
      <c r="F210" s="122">
        <v>26866</v>
      </c>
      <c r="G210" s="227" t="s">
        <v>457</v>
      </c>
      <c r="H210" s="122">
        <v>111803</v>
      </c>
      <c r="I210" s="199">
        <v>0</v>
      </c>
      <c r="J210" s="199">
        <v>0</v>
      </c>
      <c r="K210" s="199">
        <v>0</v>
      </c>
      <c r="L210" s="122">
        <v>111803</v>
      </c>
    </row>
    <row r="211" spans="1:12" ht="15" customHeight="1" x14ac:dyDescent="0.2">
      <c r="A211" s="103" t="s">
        <v>66</v>
      </c>
      <c r="B211" s="198" t="s">
        <v>242</v>
      </c>
      <c r="C211" s="37" t="s">
        <v>243</v>
      </c>
      <c r="D211" s="103">
        <v>32</v>
      </c>
      <c r="E211" s="122">
        <v>29436</v>
      </c>
      <c r="F211" s="122">
        <v>6448</v>
      </c>
      <c r="G211" s="227" t="s">
        <v>457</v>
      </c>
      <c r="H211" s="122">
        <v>22988</v>
      </c>
      <c r="I211" s="199">
        <v>0</v>
      </c>
      <c r="J211" s="199">
        <v>0</v>
      </c>
      <c r="K211" s="199">
        <v>0</v>
      </c>
      <c r="L211" s="122">
        <v>22988</v>
      </c>
    </row>
    <row r="212" spans="1:12" ht="15" customHeight="1" x14ac:dyDescent="0.2">
      <c r="A212" s="103" t="s">
        <v>66</v>
      </c>
      <c r="B212" s="198" t="s">
        <v>244</v>
      </c>
      <c r="C212" s="37" t="s">
        <v>245</v>
      </c>
      <c r="D212" s="103">
        <v>368</v>
      </c>
      <c r="E212" s="122">
        <v>22540</v>
      </c>
      <c r="F212" s="122">
        <v>9502</v>
      </c>
      <c r="G212" s="227" t="s">
        <v>457</v>
      </c>
      <c r="H212" s="122">
        <v>13038</v>
      </c>
      <c r="I212" s="199">
        <v>0</v>
      </c>
      <c r="J212" s="199">
        <v>0</v>
      </c>
      <c r="K212" s="199">
        <v>0</v>
      </c>
      <c r="L212" s="122">
        <v>13038</v>
      </c>
    </row>
    <row r="213" spans="1:12" ht="15" customHeight="1" x14ac:dyDescent="0.2">
      <c r="A213" s="103" t="s">
        <v>66</v>
      </c>
      <c r="B213" s="198" t="s">
        <v>246</v>
      </c>
      <c r="C213" s="37" t="s">
        <v>247</v>
      </c>
      <c r="D213" s="103">
        <v>357</v>
      </c>
      <c r="E213" s="122">
        <v>14241</v>
      </c>
      <c r="F213" s="122">
        <v>7325</v>
      </c>
      <c r="G213" s="227" t="s">
        <v>457</v>
      </c>
      <c r="H213" s="122">
        <v>6916</v>
      </c>
      <c r="I213" s="199">
        <v>0</v>
      </c>
      <c r="J213" s="199">
        <v>0</v>
      </c>
      <c r="K213" s="199">
        <v>0</v>
      </c>
      <c r="L213" s="122">
        <v>6916</v>
      </c>
    </row>
    <row r="214" spans="1:12" ht="15" customHeight="1" x14ac:dyDescent="0.2">
      <c r="A214" s="103" t="s">
        <v>66</v>
      </c>
      <c r="B214" s="198" t="s">
        <v>248</v>
      </c>
      <c r="C214" s="37" t="s">
        <v>249</v>
      </c>
      <c r="D214" s="103">
        <v>153</v>
      </c>
      <c r="E214" s="122">
        <v>13759</v>
      </c>
      <c r="F214" s="122">
        <v>1000</v>
      </c>
      <c r="G214" s="227" t="s">
        <v>457</v>
      </c>
      <c r="H214" s="122">
        <v>12759</v>
      </c>
      <c r="I214" s="199">
        <v>0</v>
      </c>
      <c r="J214" s="199">
        <v>0</v>
      </c>
      <c r="K214" s="199">
        <v>0</v>
      </c>
      <c r="L214" s="122">
        <v>12759</v>
      </c>
    </row>
    <row r="215" spans="1:12" ht="15" customHeight="1" x14ac:dyDescent="0.2">
      <c r="A215" s="103" t="s">
        <v>66</v>
      </c>
      <c r="B215" s="198" t="s">
        <v>266</v>
      </c>
      <c r="C215" s="37" t="s">
        <v>267</v>
      </c>
      <c r="D215" s="103">
        <v>155</v>
      </c>
      <c r="E215" s="122">
        <v>3353</v>
      </c>
      <c r="F215" s="122">
        <v>1000</v>
      </c>
      <c r="G215" s="227" t="s">
        <v>457</v>
      </c>
      <c r="H215" s="122">
        <v>2353</v>
      </c>
      <c r="I215" s="199">
        <v>0</v>
      </c>
      <c r="J215" s="199">
        <v>0</v>
      </c>
      <c r="K215" s="199">
        <v>0</v>
      </c>
      <c r="L215" s="122">
        <v>2353</v>
      </c>
    </row>
    <row r="216" spans="1:12" ht="15" customHeight="1" x14ac:dyDescent="0.2">
      <c r="A216" s="103" t="s">
        <v>66</v>
      </c>
      <c r="B216" s="198" t="s">
        <v>250</v>
      </c>
      <c r="C216" s="37" t="s">
        <v>239</v>
      </c>
      <c r="D216" s="103">
        <v>48</v>
      </c>
      <c r="E216" s="122">
        <v>184429</v>
      </c>
      <c r="F216" s="122">
        <v>38472</v>
      </c>
      <c r="G216" s="227" t="s">
        <v>457</v>
      </c>
      <c r="H216" s="122">
        <v>145957</v>
      </c>
      <c r="I216" s="199">
        <v>0</v>
      </c>
      <c r="J216" s="199">
        <v>0</v>
      </c>
      <c r="K216" s="199">
        <v>0</v>
      </c>
      <c r="L216" s="122">
        <v>145957</v>
      </c>
    </row>
    <row r="217" spans="1:12" ht="15" customHeight="1" x14ac:dyDescent="0.2">
      <c r="A217" s="103" t="s">
        <v>66</v>
      </c>
      <c r="B217" s="198" t="s">
        <v>251</v>
      </c>
      <c r="C217" s="37" t="s">
        <v>252</v>
      </c>
      <c r="D217" s="103">
        <v>350</v>
      </c>
      <c r="E217" s="122">
        <v>1371</v>
      </c>
      <c r="F217" s="122">
        <v>1000</v>
      </c>
      <c r="G217" s="227" t="s">
        <v>457</v>
      </c>
      <c r="H217" s="122">
        <v>371</v>
      </c>
      <c r="I217" s="199">
        <v>0</v>
      </c>
      <c r="J217" s="199">
        <v>0</v>
      </c>
      <c r="K217" s="199">
        <v>0</v>
      </c>
      <c r="L217" s="122">
        <v>371</v>
      </c>
    </row>
    <row r="218" spans="1:12" ht="15" customHeight="1" x14ac:dyDescent="0.2">
      <c r="A218" s="103" t="s">
        <v>66</v>
      </c>
      <c r="B218" s="198" t="s">
        <v>268</v>
      </c>
      <c r="C218" s="37" t="s">
        <v>269</v>
      </c>
      <c r="D218" s="103">
        <v>173</v>
      </c>
      <c r="E218" s="122">
        <v>27272</v>
      </c>
      <c r="F218" s="122">
        <v>6232</v>
      </c>
      <c r="G218" s="227" t="s">
        <v>457</v>
      </c>
      <c r="H218" s="122">
        <v>21040</v>
      </c>
      <c r="I218" s="199">
        <v>0</v>
      </c>
      <c r="J218" s="199">
        <v>0</v>
      </c>
      <c r="K218" s="199">
        <v>0</v>
      </c>
      <c r="L218" s="122">
        <v>21040</v>
      </c>
    </row>
    <row r="219" spans="1:12" ht="30" customHeight="1" x14ac:dyDescent="0.2">
      <c r="A219" s="103" t="s">
        <v>66</v>
      </c>
      <c r="B219" s="198" t="s">
        <v>275</v>
      </c>
      <c r="C219" s="37" t="s">
        <v>276</v>
      </c>
      <c r="D219" s="103">
        <v>261</v>
      </c>
      <c r="E219" s="122">
        <v>3728</v>
      </c>
      <c r="F219" s="122">
        <v>2385</v>
      </c>
      <c r="G219" s="227" t="s">
        <v>457</v>
      </c>
      <c r="H219" s="122">
        <v>1343</v>
      </c>
      <c r="I219" s="199">
        <v>0</v>
      </c>
      <c r="J219" s="199">
        <v>0</v>
      </c>
      <c r="K219" s="199">
        <v>0</v>
      </c>
      <c r="L219" s="122">
        <v>1343</v>
      </c>
    </row>
    <row r="220" spans="1:12" ht="15" customHeight="1" x14ac:dyDescent="0.2">
      <c r="A220" s="103" t="s">
        <v>66</v>
      </c>
      <c r="B220" s="198" t="s">
        <v>270</v>
      </c>
      <c r="C220" s="37" t="s">
        <v>256</v>
      </c>
      <c r="D220" s="103">
        <v>244</v>
      </c>
      <c r="E220" s="122">
        <v>10144</v>
      </c>
      <c r="F220" s="122">
        <v>2021</v>
      </c>
      <c r="G220" s="227" t="s">
        <v>457</v>
      </c>
      <c r="H220" s="122">
        <v>8123</v>
      </c>
      <c r="I220" s="199">
        <v>0</v>
      </c>
      <c r="J220" s="199">
        <v>0</v>
      </c>
      <c r="K220" s="199">
        <v>0</v>
      </c>
      <c r="L220" s="122">
        <v>8123</v>
      </c>
    </row>
    <row r="221" spans="1:12" ht="15" customHeight="1" x14ac:dyDescent="0.2">
      <c r="A221" s="103" t="s">
        <v>66</v>
      </c>
      <c r="B221" s="198" t="s">
        <v>253</v>
      </c>
      <c r="C221" s="37" t="s">
        <v>254</v>
      </c>
      <c r="D221" s="103">
        <v>171</v>
      </c>
      <c r="E221" s="122">
        <v>31113</v>
      </c>
      <c r="F221" s="122">
        <v>7778</v>
      </c>
      <c r="G221" s="227" t="s">
        <v>457</v>
      </c>
      <c r="H221" s="122">
        <v>23335</v>
      </c>
      <c r="I221" s="199">
        <v>0</v>
      </c>
      <c r="J221" s="199">
        <v>0</v>
      </c>
      <c r="K221" s="199">
        <v>0</v>
      </c>
      <c r="L221" s="122">
        <v>23335</v>
      </c>
    </row>
    <row r="222" spans="1:12" s="229" customFormat="1" ht="30" customHeight="1" x14ac:dyDescent="0.2">
      <c r="A222" s="103" t="s">
        <v>66</v>
      </c>
      <c r="B222" s="198" t="s">
        <v>255</v>
      </c>
      <c r="C222" s="37" t="s">
        <v>256</v>
      </c>
      <c r="D222" s="103">
        <v>258</v>
      </c>
      <c r="E222" s="122">
        <v>67141</v>
      </c>
      <c r="F222" s="122">
        <v>7407</v>
      </c>
      <c r="G222" s="227" t="s">
        <v>457</v>
      </c>
      <c r="H222" s="122">
        <v>59734</v>
      </c>
      <c r="I222" s="199">
        <v>0</v>
      </c>
      <c r="J222" s="199">
        <v>0</v>
      </c>
      <c r="K222" s="199">
        <v>0</v>
      </c>
      <c r="L222" s="122">
        <v>59734</v>
      </c>
    </row>
    <row r="223" spans="1:12" ht="15" customHeight="1" x14ac:dyDescent="0.2">
      <c r="A223" s="103" t="s">
        <v>66</v>
      </c>
      <c r="B223" s="198" t="s">
        <v>257</v>
      </c>
      <c r="C223" s="37" t="s">
        <v>239</v>
      </c>
      <c r="D223" s="103">
        <v>260</v>
      </c>
      <c r="E223" s="122">
        <v>220445</v>
      </c>
      <c r="F223" s="122">
        <v>39867</v>
      </c>
      <c r="G223" s="227" t="s">
        <v>457</v>
      </c>
      <c r="H223" s="122">
        <v>180578</v>
      </c>
      <c r="I223" s="199">
        <v>0</v>
      </c>
      <c r="J223" s="199">
        <v>0</v>
      </c>
      <c r="K223" s="199">
        <v>0</v>
      </c>
      <c r="L223" s="122">
        <v>180578</v>
      </c>
    </row>
    <row r="224" spans="1:12" ht="15" customHeight="1" x14ac:dyDescent="0.2">
      <c r="A224" s="103" t="s">
        <v>66</v>
      </c>
      <c r="B224" s="198" t="s">
        <v>258</v>
      </c>
      <c r="C224" s="37" t="s">
        <v>259</v>
      </c>
      <c r="D224" s="103">
        <v>367</v>
      </c>
      <c r="E224" s="122">
        <v>10347297</v>
      </c>
      <c r="F224" s="122">
        <v>7537292</v>
      </c>
      <c r="G224" s="227" t="s">
        <v>457</v>
      </c>
      <c r="H224" s="122">
        <v>2810005</v>
      </c>
      <c r="I224" s="199">
        <v>0</v>
      </c>
      <c r="J224" s="199">
        <v>0</v>
      </c>
      <c r="K224" s="199">
        <v>0</v>
      </c>
      <c r="L224" s="122">
        <v>2810005</v>
      </c>
    </row>
    <row r="225" spans="1:12" ht="15" customHeight="1" x14ac:dyDescent="0.2">
      <c r="A225" s="103" t="s">
        <v>66</v>
      </c>
      <c r="B225" s="198" t="s">
        <v>260</v>
      </c>
      <c r="C225" s="37" t="s">
        <v>261</v>
      </c>
      <c r="D225" s="103">
        <v>351</v>
      </c>
      <c r="E225" s="122">
        <v>18910</v>
      </c>
      <c r="F225" s="122">
        <v>8205</v>
      </c>
      <c r="G225" s="227" t="s">
        <v>457</v>
      </c>
      <c r="H225" s="122">
        <v>10705</v>
      </c>
      <c r="I225" s="199">
        <v>0</v>
      </c>
      <c r="J225" s="199">
        <v>0</v>
      </c>
      <c r="K225" s="199">
        <v>0</v>
      </c>
      <c r="L225" s="122">
        <v>10705</v>
      </c>
    </row>
    <row r="226" spans="1:12" ht="15" customHeight="1" x14ac:dyDescent="0.2">
      <c r="A226" s="206" t="s">
        <v>378</v>
      </c>
      <c r="B226" s="228" t="s">
        <v>457</v>
      </c>
      <c r="C226" s="228" t="s">
        <v>457</v>
      </c>
      <c r="D226" s="228" t="s">
        <v>457</v>
      </c>
      <c r="E226" s="117">
        <f>SUBTOTAL(109,school201516[Program
Costs])</f>
        <v>36726941</v>
      </c>
      <c r="F226" s="117">
        <f>SUBTOTAL(109,school201516[Less: Net
 Payments and 
Offsets 2])</f>
        <v>27373414</v>
      </c>
      <c r="G226" s="228" t="s">
        <v>457</v>
      </c>
      <c r="H226" s="117">
        <f>SUBTOTAL(109,school201516[Accounts Payable
Balance])</f>
        <v>9353527</v>
      </c>
      <c r="I226" s="117">
        <f>SUBTOTAL(109,school201516[Established
Accounts Receivable])</f>
        <v>1000</v>
      </c>
      <c r="J226" s="204">
        <f>SUBTOTAL(109,school201516[Less: 
Recovered 
Amount])</f>
        <v>0</v>
      </c>
      <c r="K226" s="117">
        <f>SUBTOTAL(109,school201516[Accounts Receivable
Balance])</f>
        <v>1000</v>
      </c>
      <c r="L226" s="117">
        <f>SUBTOTAL(109,school201516[Net
Balance])</f>
        <v>9352527</v>
      </c>
    </row>
    <row r="227" spans="1:12" x14ac:dyDescent="0.2">
      <c r="A227" s="169" t="s">
        <v>463</v>
      </c>
      <c r="B227" s="198"/>
      <c r="C227" s="37"/>
      <c r="D227" s="103"/>
      <c r="E227" s="122"/>
      <c r="F227" s="122"/>
      <c r="G227" s="122"/>
      <c r="H227" s="122"/>
      <c r="I227" s="122"/>
      <c r="J227" s="122"/>
      <c r="K227" s="122"/>
      <c r="L227" s="122"/>
    </row>
    <row r="228" spans="1:12" ht="50.1" customHeight="1" x14ac:dyDescent="0.2">
      <c r="A228" s="40" t="s">
        <v>1</v>
      </c>
      <c r="B228" s="40" t="s">
        <v>15</v>
      </c>
      <c r="C228" s="40" t="s">
        <v>16</v>
      </c>
      <c r="D228" s="40" t="s">
        <v>454</v>
      </c>
      <c r="E228" s="230" t="s">
        <v>3</v>
      </c>
      <c r="F228" s="231" t="s">
        <v>592</v>
      </c>
      <c r="G228" s="232" t="s">
        <v>462</v>
      </c>
      <c r="H228" s="230" t="s">
        <v>461</v>
      </c>
      <c r="I228" s="197" t="s">
        <v>460</v>
      </c>
      <c r="J228" s="230" t="s">
        <v>459</v>
      </c>
      <c r="K228" s="230" t="s">
        <v>458</v>
      </c>
      <c r="L228" s="230" t="s">
        <v>17</v>
      </c>
    </row>
    <row r="229" spans="1:12" ht="15" customHeight="1" x14ac:dyDescent="0.2">
      <c r="A229" s="103" t="s">
        <v>67</v>
      </c>
      <c r="B229" s="198" t="s">
        <v>277</v>
      </c>
      <c r="C229" s="37" t="s">
        <v>278</v>
      </c>
      <c r="D229" s="103">
        <v>305</v>
      </c>
      <c r="E229" s="122">
        <v>1182</v>
      </c>
      <c r="F229" s="122">
        <v>1000</v>
      </c>
      <c r="G229" s="227" t="s">
        <v>457</v>
      </c>
      <c r="H229" s="122">
        <v>182</v>
      </c>
      <c r="I229" s="199">
        <v>0</v>
      </c>
      <c r="J229" s="199">
        <v>0</v>
      </c>
      <c r="K229" s="199">
        <v>0</v>
      </c>
      <c r="L229" s="122">
        <v>182</v>
      </c>
    </row>
    <row r="230" spans="1:12" ht="15" customHeight="1" x14ac:dyDescent="0.2">
      <c r="A230" s="103" t="s">
        <v>67</v>
      </c>
      <c r="B230" s="198" t="s">
        <v>217</v>
      </c>
      <c r="C230" s="37" t="s">
        <v>218</v>
      </c>
      <c r="D230" s="103">
        <v>250</v>
      </c>
      <c r="E230" s="122">
        <v>68462</v>
      </c>
      <c r="F230" s="122">
        <v>4554</v>
      </c>
      <c r="G230" s="227" t="s">
        <v>457</v>
      </c>
      <c r="H230" s="122">
        <v>63908</v>
      </c>
      <c r="I230" s="199">
        <v>0</v>
      </c>
      <c r="J230" s="199">
        <v>0</v>
      </c>
      <c r="K230" s="199">
        <v>0</v>
      </c>
      <c r="L230" s="122">
        <v>63908</v>
      </c>
    </row>
    <row r="231" spans="1:12" ht="30" customHeight="1" x14ac:dyDescent="0.2">
      <c r="A231" s="103" t="s">
        <v>67</v>
      </c>
      <c r="B231" s="198" t="s">
        <v>219</v>
      </c>
      <c r="C231" s="37" t="s">
        <v>220</v>
      </c>
      <c r="D231" s="103">
        <v>369</v>
      </c>
      <c r="E231" s="122">
        <v>44698001</v>
      </c>
      <c r="F231" s="122">
        <v>43291932</v>
      </c>
      <c r="G231" s="227" t="s">
        <v>457</v>
      </c>
      <c r="H231" s="122">
        <v>1406069</v>
      </c>
      <c r="I231" s="122">
        <v>416801</v>
      </c>
      <c r="J231" s="122">
        <v>416801</v>
      </c>
      <c r="K231" s="199">
        <v>0</v>
      </c>
      <c r="L231" s="122">
        <v>1406069</v>
      </c>
    </row>
    <row r="232" spans="1:12" ht="30" customHeight="1" x14ac:dyDescent="0.2">
      <c r="A232" s="103" t="s">
        <v>67</v>
      </c>
      <c r="B232" s="198" t="s">
        <v>221</v>
      </c>
      <c r="C232" s="37" t="s">
        <v>222</v>
      </c>
      <c r="D232" s="103">
        <v>172</v>
      </c>
      <c r="E232" s="122">
        <v>51776</v>
      </c>
      <c r="F232" s="122">
        <v>21615</v>
      </c>
      <c r="G232" s="227" t="s">
        <v>457</v>
      </c>
      <c r="H232" s="122">
        <v>30161</v>
      </c>
      <c r="I232" s="199">
        <v>0</v>
      </c>
      <c r="J232" s="199">
        <v>0</v>
      </c>
      <c r="K232" s="199">
        <v>0</v>
      </c>
      <c r="L232" s="122">
        <v>30161</v>
      </c>
    </row>
    <row r="233" spans="1:12" ht="15" customHeight="1" x14ac:dyDescent="0.2">
      <c r="A233" s="103" t="s">
        <v>67</v>
      </c>
      <c r="B233" s="198" t="s">
        <v>273</v>
      </c>
      <c r="C233" s="37" t="s">
        <v>274</v>
      </c>
      <c r="D233" s="103">
        <v>278</v>
      </c>
      <c r="E233" s="122">
        <v>80581</v>
      </c>
      <c r="F233" s="122">
        <v>1000</v>
      </c>
      <c r="G233" s="227" t="s">
        <v>457</v>
      </c>
      <c r="H233" s="122">
        <v>79581</v>
      </c>
      <c r="I233" s="199">
        <v>0</v>
      </c>
      <c r="J233" s="199">
        <v>0</v>
      </c>
      <c r="K233" s="199">
        <v>0</v>
      </c>
      <c r="L233" s="122">
        <v>79581</v>
      </c>
    </row>
    <row r="234" spans="1:12" ht="15" customHeight="1" x14ac:dyDescent="0.2">
      <c r="A234" s="103" t="s">
        <v>67</v>
      </c>
      <c r="B234" s="198" t="s">
        <v>279</v>
      </c>
      <c r="C234" s="37" t="s">
        <v>280</v>
      </c>
      <c r="D234" s="103">
        <v>309</v>
      </c>
      <c r="E234" s="122">
        <v>1367</v>
      </c>
      <c r="F234" s="122">
        <v>1000</v>
      </c>
      <c r="G234" s="227" t="s">
        <v>457</v>
      </c>
      <c r="H234" s="122">
        <v>367</v>
      </c>
      <c r="I234" s="199">
        <v>0</v>
      </c>
      <c r="J234" s="199">
        <v>0</v>
      </c>
      <c r="K234" s="199">
        <v>0</v>
      </c>
      <c r="L234" s="122">
        <v>367</v>
      </c>
    </row>
    <row r="235" spans="1:12" ht="30" customHeight="1" x14ac:dyDescent="0.2">
      <c r="A235" s="103" t="s">
        <v>67</v>
      </c>
      <c r="B235" s="198" t="s">
        <v>195</v>
      </c>
      <c r="C235" s="37" t="s">
        <v>196</v>
      </c>
      <c r="D235" s="103">
        <v>11</v>
      </c>
      <c r="E235" s="122">
        <v>996242</v>
      </c>
      <c r="F235" s="122">
        <v>356650</v>
      </c>
      <c r="G235" s="227" t="s">
        <v>457</v>
      </c>
      <c r="H235" s="122">
        <v>639592</v>
      </c>
      <c r="I235" s="199">
        <v>0</v>
      </c>
      <c r="J235" s="199">
        <v>0</v>
      </c>
      <c r="K235" s="199">
        <v>0</v>
      </c>
      <c r="L235" s="122">
        <v>639592</v>
      </c>
    </row>
    <row r="236" spans="1:12" ht="15" customHeight="1" x14ac:dyDescent="0.2">
      <c r="A236" s="103" t="s">
        <v>67</v>
      </c>
      <c r="B236" s="198" t="s">
        <v>223</v>
      </c>
      <c r="C236" s="37" t="s">
        <v>224</v>
      </c>
      <c r="D236" s="103">
        <v>313</v>
      </c>
      <c r="E236" s="122">
        <v>191328</v>
      </c>
      <c r="F236" s="122">
        <v>38911</v>
      </c>
      <c r="G236" s="227" t="s">
        <v>457</v>
      </c>
      <c r="H236" s="122">
        <v>152417</v>
      </c>
      <c r="I236" s="199">
        <v>0</v>
      </c>
      <c r="J236" s="199">
        <v>0</v>
      </c>
      <c r="K236" s="199">
        <v>0</v>
      </c>
      <c r="L236" s="122">
        <v>152417</v>
      </c>
    </row>
    <row r="237" spans="1:12" ht="30" customHeight="1" x14ac:dyDescent="0.2">
      <c r="A237" s="103" t="s">
        <v>67</v>
      </c>
      <c r="B237" s="198" t="s">
        <v>225</v>
      </c>
      <c r="C237" s="37" t="s">
        <v>226</v>
      </c>
      <c r="D237" s="103">
        <v>330</v>
      </c>
      <c r="E237" s="122">
        <v>160841</v>
      </c>
      <c r="F237" s="122">
        <v>36297</v>
      </c>
      <c r="G237" s="227" t="s">
        <v>457</v>
      </c>
      <c r="H237" s="122">
        <v>124544</v>
      </c>
      <c r="I237" s="199">
        <v>0</v>
      </c>
      <c r="J237" s="199">
        <v>0</v>
      </c>
      <c r="K237" s="199">
        <v>0</v>
      </c>
      <c r="L237" s="122">
        <v>124544</v>
      </c>
    </row>
    <row r="238" spans="1:12" ht="30" customHeight="1" x14ac:dyDescent="0.2">
      <c r="A238" s="103" t="s">
        <v>67</v>
      </c>
      <c r="B238" s="198" t="s">
        <v>227</v>
      </c>
      <c r="C238" s="37" t="s">
        <v>228</v>
      </c>
      <c r="D238" s="103">
        <v>272</v>
      </c>
      <c r="E238" s="122">
        <v>212691</v>
      </c>
      <c r="F238" s="122">
        <v>34030</v>
      </c>
      <c r="G238" s="227" t="s">
        <v>457</v>
      </c>
      <c r="H238" s="122">
        <v>178661</v>
      </c>
      <c r="I238" s="199">
        <v>0</v>
      </c>
      <c r="J238" s="199">
        <v>0</v>
      </c>
      <c r="K238" s="199">
        <v>0</v>
      </c>
      <c r="L238" s="122">
        <v>178661</v>
      </c>
    </row>
    <row r="239" spans="1:12" ht="30" customHeight="1" x14ac:dyDescent="0.2">
      <c r="A239" s="103" t="s">
        <v>67</v>
      </c>
      <c r="B239" s="198" t="s">
        <v>229</v>
      </c>
      <c r="C239" s="37" t="s">
        <v>230</v>
      </c>
      <c r="D239" s="103">
        <v>276</v>
      </c>
      <c r="E239" s="122">
        <v>84258</v>
      </c>
      <c r="F239" s="122">
        <v>2880</v>
      </c>
      <c r="G239" s="227" t="s">
        <v>457</v>
      </c>
      <c r="H239" s="122">
        <v>81378</v>
      </c>
      <c r="I239" s="199">
        <v>0</v>
      </c>
      <c r="J239" s="199">
        <v>0</v>
      </c>
      <c r="K239" s="199">
        <v>0</v>
      </c>
      <c r="L239" s="122">
        <v>81378</v>
      </c>
    </row>
    <row r="240" spans="1:12" ht="60" x14ac:dyDescent="0.2">
      <c r="A240" s="103" t="s">
        <v>67</v>
      </c>
      <c r="B240" s="198" t="s">
        <v>231</v>
      </c>
      <c r="C240" s="37" t="s">
        <v>232</v>
      </c>
      <c r="D240" s="103">
        <v>292</v>
      </c>
      <c r="E240" s="122">
        <v>566786</v>
      </c>
      <c r="F240" s="122">
        <v>49899</v>
      </c>
      <c r="G240" s="227" t="s">
        <v>457</v>
      </c>
      <c r="H240" s="122">
        <v>516887</v>
      </c>
      <c r="I240" s="199">
        <v>0</v>
      </c>
      <c r="J240" s="199">
        <v>0</v>
      </c>
      <c r="K240" s="199">
        <v>0</v>
      </c>
      <c r="L240" s="122">
        <v>516887</v>
      </c>
    </row>
    <row r="241" spans="1:12" ht="30" customHeight="1" x14ac:dyDescent="0.2">
      <c r="A241" s="103" t="s">
        <v>67</v>
      </c>
      <c r="B241" s="198" t="s">
        <v>233</v>
      </c>
      <c r="C241" s="37" t="s">
        <v>234</v>
      </c>
      <c r="D241" s="103">
        <v>209</v>
      </c>
      <c r="E241" s="122">
        <v>93729</v>
      </c>
      <c r="F241" s="122">
        <v>1000</v>
      </c>
      <c r="G241" s="227" t="s">
        <v>457</v>
      </c>
      <c r="H241" s="122">
        <v>92729</v>
      </c>
      <c r="I241" s="199">
        <v>0</v>
      </c>
      <c r="J241" s="199">
        <v>0</v>
      </c>
      <c r="K241" s="199">
        <v>0</v>
      </c>
      <c r="L241" s="122">
        <v>92729</v>
      </c>
    </row>
    <row r="242" spans="1:12" ht="15" customHeight="1" x14ac:dyDescent="0.2">
      <c r="A242" s="103" t="s">
        <v>67</v>
      </c>
      <c r="B242" s="198" t="s">
        <v>235</v>
      </c>
      <c r="C242" s="37" t="s">
        <v>236</v>
      </c>
      <c r="D242" s="103">
        <v>183</v>
      </c>
      <c r="E242" s="122">
        <v>53366</v>
      </c>
      <c r="F242" s="122">
        <v>15888</v>
      </c>
      <c r="G242" s="227" t="s">
        <v>457</v>
      </c>
      <c r="H242" s="122">
        <v>37478</v>
      </c>
      <c r="I242" s="199">
        <v>0</v>
      </c>
      <c r="J242" s="199">
        <v>0</v>
      </c>
      <c r="K242" s="199">
        <v>0</v>
      </c>
      <c r="L242" s="122">
        <v>37478</v>
      </c>
    </row>
    <row r="243" spans="1:12" ht="15" customHeight="1" x14ac:dyDescent="0.2">
      <c r="A243" s="103" t="s">
        <v>67</v>
      </c>
      <c r="B243" s="198" t="s">
        <v>264</v>
      </c>
      <c r="C243" s="37" t="s">
        <v>265</v>
      </c>
      <c r="D243" s="103">
        <v>251</v>
      </c>
      <c r="E243" s="122">
        <v>12287</v>
      </c>
      <c r="F243" s="122">
        <v>5287</v>
      </c>
      <c r="G243" s="227" t="s">
        <v>457</v>
      </c>
      <c r="H243" s="122">
        <v>7000</v>
      </c>
      <c r="I243" s="199">
        <v>0</v>
      </c>
      <c r="J243" s="199">
        <v>0</v>
      </c>
      <c r="K243" s="199">
        <v>0</v>
      </c>
      <c r="L243" s="122">
        <v>7000</v>
      </c>
    </row>
    <row r="244" spans="1:12" ht="15" customHeight="1" x14ac:dyDescent="0.2">
      <c r="A244" s="103" t="s">
        <v>67</v>
      </c>
      <c r="B244" s="198" t="s">
        <v>281</v>
      </c>
      <c r="C244" s="37" t="s">
        <v>226</v>
      </c>
      <c r="D244" s="103">
        <v>91</v>
      </c>
      <c r="E244" s="122">
        <v>2373</v>
      </c>
      <c r="F244" s="122">
        <v>1321</v>
      </c>
      <c r="G244" s="227" t="s">
        <v>457</v>
      </c>
      <c r="H244" s="122">
        <v>1052</v>
      </c>
      <c r="I244" s="199">
        <v>0</v>
      </c>
      <c r="J244" s="199">
        <v>0</v>
      </c>
      <c r="K244" s="199">
        <v>0</v>
      </c>
      <c r="L244" s="122">
        <v>1052</v>
      </c>
    </row>
    <row r="245" spans="1:12" ht="15" customHeight="1" x14ac:dyDescent="0.2">
      <c r="A245" s="103" t="s">
        <v>67</v>
      </c>
      <c r="B245" s="198" t="s">
        <v>237</v>
      </c>
      <c r="C245" s="37" t="s">
        <v>208</v>
      </c>
      <c r="D245" s="103">
        <v>192</v>
      </c>
      <c r="E245" s="122">
        <v>28693</v>
      </c>
      <c r="F245" s="122">
        <v>9017</v>
      </c>
      <c r="G245" s="227" t="s">
        <v>457</v>
      </c>
      <c r="H245" s="122">
        <v>19676</v>
      </c>
      <c r="I245" s="199">
        <v>0</v>
      </c>
      <c r="J245" s="199">
        <v>0</v>
      </c>
      <c r="K245" s="199">
        <v>0</v>
      </c>
      <c r="L245" s="122">
        <v>19676</v>
      </c>
    </row>
    <row r="246" spans="1:12" ht="15" customHeight="1" x14ac:dyDescent="0.2">
      <c r="A246" s="103" t="s">
        <v>67</v>
      </c>
      <c r="B246" s="198" t="s">
        <v>238</v>
      </c>
      <c r="C246" s="37" t="s">
        <v>239</v>
      </c>
      <c r="D246" s="103">
        <v>297</v>
      </c>
      <c r="E246" s="122">
        <v>13976779</v>
      </c>
      <c r="F246" s="122">
        <v>3216044</v>
      </c>
      <c r="G246" s="227" t="s">
        <v>457</v>
      </c>
      <c r="H246" s="122">
        <v>10760735</v>
      </c>
      <c r="I246" s="199">
        <v>0</v>
      </c>
      <c r="J246" s="199">
        <v>0</v>
      </c>
      <c r="K246" s="199">
        <v>0</v>
      </c>
      <c r="L246" s="122">
        <v>10760735</v>
      </c>
    </row>
    <row r="247" spans="1:12" ht="15" customHeight="1" x14ac:dyDescent="0.2">
      <c r="A247" s="103" t="s">
        <v>67</v>
      </c>
      <c r="B247" s="198" t="s">
        <v>240</v>
      </c>
      <c r="C247" s="37" t="s">
        <v>241</v>
      </c>
      <c r="D247" s="103">
        <v>166</v>
      </c>
      <c r="E247" s="122">
        <v>1046928</v>
      </c>
      <c r="F247" s="122">
        <v>447482</v>
      </c>
      <c r="G247" s="227" t="s">
        <v>457</v>
      </c>
      <c r="H247" s="122">
        <v>599446</v>
      </c>
      <c r="I247" s="199">
        <v>0</v>
      </c>
      <c r="J247" s="199">
        <v>0</v>
      </c>
      <c r="K247" s="199">
        <v>0</v>
      </c>
      <c r="L247" s="122">
        <v>599446</v>
      </c>
    </row>
    <row r="248" spans="1:12" ht="15" customHeight="1" x14ac:dyDescent="0.2">
      <c r="A248" s="103" t="s">
        <v>67</v>
      </c>
      <c r="B248" s="198" t="s">
        <v>282</v>
      </c>
      <c r="C248" s="37" t="s">
        <v>283</v>
      </c>
      <c r="D248" s="103">
        <v>268</v>
      </c>
      <c r="E248" s="122">
        <v>613754</v>
      </c>
      <c r="F248" s="122">
        <v>14822</v>
      </c>
      <c r="G248" s="227" t="s">
        <v>457</v>
      </c>
      <c r="H248" s="122">
        <v>598932</v>
      </c>
      <c r="I248" s="199">
        <v>0</v>
      </c>
      <c r="J248" s="199">
        <v>0</v>
      </c>
      <c r="K248" s="199">
        <v>0</v>
      </c>
      <c r="L248" s="122">
        <v>598932</v>
      </c>
    </row>
    <row r="249" spans="1:12" ht="15" customHeight="1" x14ac:dyDescent="0.2">
      <c r="A249" s="103" t="s">
        <v>67</v>
      </c>
      <c r="B249" s="198" t="s">
        <v>242</v>
      </c>
      <c r="C249" s="37" t="s">
        <v>243</v>
      </c>
      <c r="D249" s="103">
        <v>32</v>
      </c>
      <c r="E249" s="122">
        <v>225152</v>
      </c>
      <c r="F249" s="122">
        <v>87827</v>
      </c>
      <c r="G249" s="227" t="s">
        <v>457</v>
      </c>
      <c r="H249" s="122">
        <v>137325</v>
      </c>
      <c r="I249" s="199">
        <v>0</v>
      </c>
      <c r="J249" s="199">
        <v>0</v>
      </c>
      <c r="K249" s="199">
        <v>0</v>
      </c>
      <c r="L249" s="122">
        <v>137325</v>
      </c>
    </row>
    <row r="250" spans="1:12" ht="15" customHeight="1" x14ac:dyDescent="0.2">
      <c r="A250" s="103" t="s">
        <v>67</v>
      </c>
      <c r="B250" s="198" t="s">
        <v>244</v>
      </c>
      <c r="C250" s="37" t="s">
        <v>245</v>
      </c>
      <c r="D250" s="103">
        <v>368</v>
      </c>
      <c r="E250" s="122">
        <v>196527</v>
      </c>
      <c r="F250" s="122">
        <v>95748</v>
      </c>
      <c r="G250" s="227" t="s">
        <v>457</v>
      </c>
      <c r="H250" s="122">
        <v>100779</v>
      </c>
      <c r="I250" s="199">
        <v>0</v>
      </c>
      <c r="J250" s="199">
        <v>0</v>
      </c>
      <c r="K250" s="199">
        <v>0</v>
      </c>
      <c r="L250" s="122">
        <v>100779</v>
      </c>
    </row>
    <row r="251" spans="1:12" ht="15" customHeight="1" x14ac:dyDescent="0.2">
      <c r="A251" s="103" t="s">
        <v>67</v>
      </c>
      <c r="B251" s="198" t="s">
        <v>246</v>
      </c>
      <c r="C251" s="37" t="s">
        <v>247</v>
      </c>
      <c r="D251" s="103">
        <v>357</v>
      </c>
      <c r="E251" s="122">
        <v>2619669</v>
      </c>
      <c r="F251" s="122">
        <v>2175080</v>
      </c>
      <c r="G251" s="227" t="s">
        <v>457</v>
      </c>
      <c r="H251" s="122">
        <v>444589</v>
      </c>
      <c r="I251" s="199">
        <v>0</v>
      </c>
      <c r="J251" s="199">
        <v>0</v>
      </c>
      <c r="K251" s="199">
        <v>0</v>
      </c>
      <c r="L251" s="122">
        <v>444589</v>
      </c>
    </row>
    <row r="252" spans="1:12" ht="15" customHeight="1" x14ac:dyDescent="0.2">
      <c r="A252" s="103" t="s">
        <v>67</v>
      </c>
      <c r="B252" s="198" t="s">
        <v>284</v>
      </c>
      <c r="C252" s="37" t="s">
        <v>285</v>
      </c>
      <c r="D252" s="103">
        <v>148</v>
      </c>
      <c r="E252" s="122">
        <v>8713</v>
      </c>
      <c r="F252" s="122">
        <v>1000</v>
      </c>
      <c r="G252" s="227" t="s">
        <v>457</v>
      </c>
      <c r="H252" s="122">
        <v>7713</v>
      </c>
      <c r="I252" s="199">
        <v>0</v>
      </c>
      <c r="J252" s="199">
        <v>0</v>
      </c>
      <c r="K252" s="199">
        <v>0</v>
      </c>
      <c r="L252" s="122">
        <v>7713</v>
      </c>
    </row>
    <row r="253" spans="1:12" ht="15" customHeight="1" x14ac:dyDescent="0.2">
      <c r="A253" s="103" t="s">
        <v>67</v>
      </c>
      <c r="B253" s="198" t="s">
        <v>248</v>
      </c>
      <c r="C253" s="37" t="s">
        <v>249</v>
      </c>
      <c r="D253" s="103">
        <v>153</v>
      </c>
      <c r="E253" s="122">
        <v>137810</v>
      </c>
      <c r="F253" s="122">
        <v>36419</v>
      </c>
      <c r="G253" s="227" t="s">
        <v>457</v>
      </c>
      <c r="H253" s="122">
        <v>101391</v>
      </c>
      <c r="I253" s="199">
        <v>0</v>
      </c>
      <c r="J253" s="199">
        <v>0</v>
      </c>
      <c r="K253" s="199">
        <v>0</v>
      </c>
      <c r="L253" s="122">
        <v>101391</v>
      </c>
    </row>
    <row r="254" spans="1:12" ht="15" customHeight="1" x14ac:dyDescent="0.2">
      <c r="A254" s="103" t="s">
        <v>67</v>
      </c>
      <c r="B254" s="198" t="s">
        <v>266</v>
      </c>
      <c r="C254" s="37" t="s">
        <v>267</v>
      </c>
      <c r="D254" s="103">
        <v>155</v>
      </c>
      <c r="E254" s="122">
        <v>222555</v>
      </c>
      <c r="F254" s="122">
        <v>2931</v>
      </c>
      <c r="G254" s="227" t="s">
        <v>457</v>
      </c>
      <c r="H254" s="122">
        <v>219624</v>
      </c>
      <c r="I254" s="199">
        <v>0</v>
      </c>
      <c r="J254" s="199">
        <v>0</v>
      </c>
      <c r="K254" s="199">
        <v>0</v>
      </c>
      <c r="L254" s="122">
        <v>219624</v>
      </c>
    </row>
    <row r="255" spans="1:12" ht="15" customHeight="1" x14ac:dyDescent="0.2">
      <c r="A255" s="103" t="s">
        <v>67</v>
      </c>
      <c r="B255" s="198" t="s">
        <v>250</v>
      </c>
      <c r="C255" s="37" t="s">
        <v>239</v>
      </c>
      <c r="D255" s="103">
        <v>48</v>
      </c>
      <c r="E255" s="122">
        <v>1589869</v>
      </c>
      <c r="F255" s="122">
        <v>835468</v>
      </c>
      <c r="G255" s="227" t="s">
        <v>457</v>
      </c>
      <c r="H255" s="122">
        <v>754401</v>
      </c>
      <c r="I255" s="199">
        <v>0</v>
      </c>
      <c r="J255" s="199">
        <v>0</v>
      </c>
      <c r="K255" s="199">
        <v>0</v>
      </c>
      <c r="L255" s="122">
        <v>754401</v>
      </c>
    </row>
    <row r="256" spans="1:12" ht="15" customHeight="1" x14ac:dyDescent="0.2">
      <c r="A256" s="103" t="s">
        <v>67</v>
      </c>
      <c r="B256" s="198" t="s">
        <v>251</v>
      </c>
      <c r="C256" s="37" t="s">
        <v>252</v>
      </c>
      <c r="D256" s="103">
        <v>350</v>
      </c>
      <c r="E256" s="122">
        <v>34239</v>
      </c>
      <c r="F256" s="122">
        <v>9495</v>
      </c>
      <c r="G256" s="227" t="s">
        <v>457</v>
      </c>
      <c r="H256" s="122">
        <v>24744</v>
      </c>
      <c r="I256" s="199">
        <v>0</v>
      </c>
      <c r="J256" s="199">
        <v>0</v>
      </c>
      <c r="K256" s="199">
        <v>0</v>
      </c>
      <c r="L256" s="122">
        <v>24744</v>
      </c>
    </row>
    <row r="257" spans="1:12" ht="15" customHeight="1" x14ac:dyDescent="0.2">
      <c r="A257" s="103" t="s">
        <v>67</v>
      </c>
      <c r="B257" s="198" t="s">
        <v>268</v>
      </c>
      <c r="C257" s="37" t="s">
        <v>269</v>
      </c>
      <c r="D257" s="103">
        <v>173</v>
      </c>
      <c r="E257" s="122">
        <v>63225</v>
      </c>
      <c r="F257" s="122">
        <v>18060</v>
      </c>
      <c r="G257" s="227" t="s">
        <v>457</v>
      </c>
      <c r="H257" s="122">
        <v>45165</v>
      </c>
      <c r="I257" s="199">
        <v>0</v>
      </c>
      <c r="J257" s="199">
        <v>0</v>
      </c>
      <c r="K257" s="199">
        <v>0</v>
      </c>
      <c r="L257" s="122">
        <v>45165</v>
      </c>
    </row>
    <row r="258" spans="1:12" ht="30" customHeight="1" x14ac:dyDescent="0.2">
      <c r="A258" s="103" t="s">
        <v>67</v>
      </c>
      <c r="B258" s="198" t="s">
        <v>275</v>
      </c>
      <c r="C258" s="37" t="s">
        <v>276</v>
      </c>
      <c r="D258" s="103">
        <v>261</v>
      </c>
      <c r="E258" s="122">
        <v>42331</v>
      </c>
      <c r="F258" s="122">
        <v>15186</v>
      </c>
      <c r="G258" s="227" t="s">
        <v>457</v>
      </c>
      <c r="H258" s="122">
        <v>27145</v>
      </c>
      <c r="I258" s="199">
        <v>0</v>
      </c>
      <c r="J258" s="199">
        <v>0</v>
      </c>
      <c r="K258" s="199">
        <v>0</v>
      </c>
      <c r="L258" s="122">
        <v>27145</v>
      </c>
    </row>
    <row r="259" spans="1:12" ht="15" customHeight="1" x14ac:dyDescent="0.2">
      <c r="A259" s="103" t="s">
        <v>67</v>
      </c>
      <c r="B259" s="198" t="s">
        <v>270</v>
      </c>
      <c r="C259" s="37" t="s">
        <v>256</v>
      </c>
      <c r="D259" s="103">
        <v>244</v>
      </c>
      <c r="E259" s="122">
        <v>98089</v>
      </c>
      <c r="F259" s="122">
        <v>34676</v>
      </c>
      <c r="G259" s="227" t="s">
        <v>457</v>
      </c>
      <c r="H259" s="122">
        <v>63413</v>
      </c>
      <c r="I259" s="199">
        <v>0</v>
      </c>
      <c r="J259" s="199">
        <v>0</v>
      </c>
      <c r="K259" s="199">
        <v>0</v>
      </c>
      <c r="L259" s="122">
        <v>63413</v>
      </c>
    </row>
    <row r="260" spans="1:12" ht="15" customHeight="1" x14ac:dyDescent="0.2">
      <c r="A260" s="103" t="s">
        <v>67</v>
      </c>
      <c r="B260" s="198" t="s">
        <v>286</v>
      </c>
      <c r="C260" s="37" t="s">
        <v>239</v>
      </c>
      <c r="D260" s="103">
        <v>280</v>
      </c>
      <c r="E260" s="122">
        <v>6219</v>
      </c>
      <c r="F260" s="122">
        <v>1000</v>
      </c>
      <c r="G260" s="227" t="s">
        <v>457</v>
      </c>
      <c r="H260" s="122">
        <v>5219</v>
      </c>
      <c r="I260" s="199">
        <v>0</v>
      </c>
      <c r="J260" s="199">
        <v>0</v>
      </c>
      <c r="K260" s="199">
        <v>0</v>
      </c>
      <c r="L260" s="122">
        <v>5219</v>
      </c>
    </row>
    <row r="261" spans="1:12" ht="15" customHeight="1" x14ac:dyDescent="0.2">
      <c r="A261" s="103" t="s">
        <v>67</v>
      </c>
      <c r="B261" s="198" t="s">
        <v>253</v>
      </c>
      <c r="C261" s="37" t="s">
        <v>254</v>
      </c>
      <c r="D261" s="103">
        <v>171</v>
      </c>
      <c r="E261" s="122">
        <v>106624</v>
      </c>
      <c r="F261" s="122">
        <v>28148</v>
      </c>
      <c r="G261" s="227" t="s">
        <v>457</v>
      </c>
      <c r="H261" s="122">
        <v>78476</v>
      </c>
      <c r="I261" s="199">
        <v>0</v>
      </c>
      <c r="J261" s="199">
        <v>0</v>
      </c>
      <c r="K261" s="199">
        <v>0</v>
      </c>
      <c r="L261" s="122">
        <v>78476</v>
      </c>
    </row>
    <row r="262" spans="1:12" ht="15" customHeight="1" x14ac:dyDescent="0.2">
      <c r="A262" s="103" t="s">
        <v>67</v>
      </c>
      <c r="B262" s="198" t="s">
        <v>255</v>
      </c>
      <c r="C262" s="37" t="s">
        <v>256</v>
      </c>
      <c r="D262" s="103">
        <v>258</v>
      </c>
      <c r="E262" s="122">
        <v>395050</v>
      </c>
      <c r="F262" s="122">
        <v>31957</v>
      </c>
      <c r="G262" s="227" t="s">
        <v>457</v>
      </c>
      <c r="H262" s="122">
        <v>363093</v>
      </c>
      <c r="I262" s="199">
        <v>0</v>
      </c>
      <c r="J262" s="199">
        <v>0</v>
      </c>
      <c r="K262" s="199">
        <v>0</v>
      </c>
      <c r="L262" s="122">
        <v>363093</v>
      </c>
    </row>
    <row r="263" spans="1:12" ht="15" customHeight="1" x14ac:dyDescent="0.2">
      <c r="A263" s="103" t="s">
        <v>67</v>
      </c>
      <c r="B263" s="198" t="s">
        <v>287</v>
      </c>
      <c r="C263" s="37" t="s">
        <v>288</v>
      </c>
      <c r="D263" s="103">
        <v>228</v>
      </c>
      <c r="E263" s="122">
        <v>17098</v>
      </c>
      <c r="F263" s="122">
        <v>1000</v>
      </c>
      <c r="G263" s="227" t="s">
        <v>457</v>
      </c>
      <c r="H263" s="122">
        <v>16098</v>
      </c>
      <c r="I263" s="199">
        <v>0</v>
      </c>
      <c r="J263" s="199">
        <v>0</v>
      </c>
      <c r="K263" s="199">
        <v>0</v>
      </c>
      <c r="L263" s="122">
        <v>16098</v>
      </c>
    </row>
    <row r="264" spans="1:12" s="229" customFormat="1" ht="15" customHeight="1" x14ac:dyDescent="0.2">
      <c r="A264" s="103" t="s">
        <v>67</v>
      </c>
      <c r="B264" s="198" t="s">
        <v>289</v>
      </c>
      <c r="C264" s="37" t="s">
        <v>290</v>
      </c>
      <c r="D264" s="103">
        <v>308</v>
      </c>
      <c r="E264" s="122">
        <v>2805</v>
      </c>
      <c r="F264" s="122">
        <v>1000</v>
      </c>
      <c r="G264" s="227" t="s">
        <v>457</v>
      </c>
      <c r="H264" s="122">
        <v>1805</v>
      </c>
      <c r="I264" s="199">
        <v>0</v>
      </c>
      <c r="J264" s="199">
        <v>0</v>
      </c>
      <c r="K264" s="199">
        <v>0</v>
      </c>
      <c r="L264" s="122">
        <v>1805</v>
      </c>
    </row>
    <row r="265" spans="1:12" ht="15" customHeight="1" x14ac:dyDescent="0.2">
      <c r="A265" s="103" t="s">
        <v>67</v>
      </c>
      <c r="B265" s="198" t="s">
        <v>257</v>
      </c>
      <c r="C265" s="37" t="s">
        <v>239</v>
      </c>
      <c r="D265" s="103">
        <v>260</v>
      </c>
      <c r="E265" s="122">
        <v>1283851</v>
      </c>
      <c r="F265" s="122">
        <v>736708</v>
      </c>
      <c r="G265" s="227" t="s">
        <v>457</v>
      </c>
      <c r="H265" s="122">
        <v>547143</v>
      </c>
      <c r="I265" s="199">
        <v>0</v>
      </c>
      <c r="J265" s="199">
        <v>0</v>
      </c>
      <c r="K265" s="199">
        <v>0</v>
      </c>
      <c r="L265" s="122">
        <v>547143</v>
      </c>
    </row>
    <row r="266" spans="1:12" ht="15" customHeight="1" x14ac:dyDescent="0.2">
      <c r="A266" s="103" t="s">
        <v>67</v>
      </c>
      <c r="B266" s="198" t="s">
        <v>258</v>
      </c>
      <c r="C266" s="37" t="s">
        <v>259</v>
      </c>
      <c r="D266" s="103">
        <v>367</v>
      </c>
      <c r="E266" s="122">
        <v>147181</v>
      </c>
      <c r="F266" s="122">
        <v>133599</v>
      </c>
      <c r="G266" s="227" t="s">
        <v>457</v>
      </c>
      <c r="H266" s="122">
        <v>13582</v>
      </c>
      <c r="I266" s="199">
        <v>0</v>
      </c>
      <c r="J266" s="199">
        <v>0</v>
      </c>
      <c r="K266" s="199">
        <v>0</v>
      </c>
      <c r="L266" s="122">
        <v>13582</v>
      </c>
    </row>
    <row r="267" spans="1:12" ht="15" customHeight="1" x14ac:dyDescent="0.2">
      <c r="A267" s="103" t="s">
        <v>67</v>
      </c>
      <c r="B267" s="198" t="s">
        <v>271</v>
      </c>
      <c r="C267" s="37" t="s">
        <v>272</v>
      </c>
      <c r="D267" s="103">
        <v>346</v>
      </c>
      <c r="E267" s="122">
        <v>5540</v>
      </c>
      <c r="F267" s="122">
        <v>1000</v>
      </c>
      <c r="G267" s="227" t="s">
        <v>457</v>
      </c>
      <c r="H267" s="122">
        <v>4540</v>
      </c>
      <c r="I267" s="199">
        <v>0</v>
      </c>
      <c r="J267" s="199">
        <v>0</v>
      </c>
      <c r="K267" s="199">
        <v>0</v>
      </c>
      <c r="L267" s="122">
        <v>4540</v>
      </c>
    </row>
    <row r="268" spans="1:12" ht="15" customHeight="1" x14ac:dyDescent="0.2">
      <c r="A268" s="103" t="s">
        <v>67</v>
      </c>
      <c r="B268" s="198" t="s">
        <v>260</v>
      </c>
      <c r="C268" s="37" t="s">
        <v>261</v>
      </c>
      <c r="D268" s="103">
        <v>351</v>
      </c>
      <c r="E268" s="122">
        <v>31192</v>
      </c>
      <c r="F268" s="122">
        <v>6108</v>
      </c>
      <c r="G268" s="227" t="s">
        <v>457</v>
      </c>
      <c r="H268" s="122">
        <v>25084</v>
      </c>
      <c r="I268" s="199">
        <v>0</v>
      </c>
      <c r="J268" s="199">
        <v>0</v>
      </c>
      <c r="K268" s="199">
        <v>0</v>
      </c>
      <c r="L268" s="122">
        <v>25084</v>
      </c>
    </row>
    <row r="269" spans="1:12" ht="15" customHeight="1" x14ac:dyDescent="0.2">
      <c r="A269" s="206" t="s">
        <v>379</v>
      </c>
      <c r="B269" s="228" t="s">
        <v>457</v>
      </c>
      <c r="C269" s="228" t="s">
        <v>457</v>
      </c>
      <c r="D269" s="228" t="s">
        <v>457</v>
      </c>
      <c r="E269" s="117">
        <f>SUBTOTAL(109,school201415[Program
Costs])</f>
        <v>70175163</v>
      </c>
      <c r="F269" s="117">
        <f>SUBTOTAL(109,school201415[Less: Net
 Payments and 
Offsets 2])</f>
        <v>51803039</v>
      </c>
      <c r="G269" s="228" t="s">
        <v>457</v>
      </c>
      <c r="H269" s="117">
        <f>SUBTOTAL(109,school201415[Accounts Payable
Balance])</f>
        <v>18372124</v>
      </c>
      <c r="I269" s="117">
        <f>SUBTOTAL(109,school201415[Established
Accounts Receivable])</f>
        <v>416801</v>
      </c>
      <c r="J269" s="117">
        <f>SUBTOTAL(109,school201415[Less: 
Recovered 
Amount])</f>
        <v>416801</v>
      </c>
      <c r="K269" s="204">
        <f>SUBTOTAL(109,school201415[Accounts Receivable
Balance])</f>
        <v>0</v>
      </c>
      <c r="L269" s="117">
        <f>SUBTOTAL(109,school201415[Net
Balance])</f>
        <v>18372124</v>
      </c>
    </row>
    <row r="270" spans="1:12" x14ac:dyDescent="0.2">
      <c r="A270" s="169" t="s">
        <v>463</v>
      </c>
      <c r="B270" s="198"/>
      <c r="C270" s="37"/>
      <c r="D270" s="103"/>
      <c r="E270" s="122"/>
      <c r="F270" s="122"/>
      <c r="G270" s="122"/>
      <c r="H270" s="122"/>
      <c r="I270" s="122"/>
      <c r="J270" s="122"/>
      <c r="K270" s="122"/>
      <c r="L270" s="122"/>
    </row>
    <row r="271" spans="1:12" ht="50.1" customHeight="1" x14ac:dyDescent="0.2">
      <c r="A271" s="40" t="s">
        <v>1</v>
      </c>
      <c r="B271" s="40" t="s">
        <v>15</v>
      </c>
      <c r="C271" s="40" t="s">
        <v>16</v>
      </c>
      <c r="D271" s="40" t="s">
        <v>454</v>
      </c>
      <c r="E271" s="230" t="s">
        <v>3</v>
      </c>
      <c r="F271" s="231" t="s">
        <v>592</v>
      </c>
      <c r="G271" s="232" t="s">
        <v>462</v>
      </c>
      <c r="H271" s="230" t="s">
        <v>461</v>
      </c>
      <c r="I271" s="197" t="s">
        <v>460</v>
      </c>
      <c r="J271" s="230" t="s">
        <v>459</v>
      </c>
      <c r="K271" s="230" t="s">
        <v>458</v>
      </c>
      <c r="L271" s="230" t="s">
        <v>17</v>
      </c>
    </row>
    <row r="272" spans="1:12" ht="15" customHeight="1" x14ac:dyDescent="0.2">
      <c r="A272" s="103" t="s">
        <v>68</v>
      </c>
      <c r="B272" s="198" t="s">
        <v>277</v>
      </c>
      <c r="C272" s="37" t="s">
        <v>278</v>
      </c>
      <c r="D272" s="103">
        <v>305</v>
      </c>
      <c r="E272" s="122">
        <v>11320</v>
      </c>
      <c r="F272" s="122">
        <v>5205</v>
      </c>
      <c r="G272" s="227" t="s">
        <v>457</v>
      </c>
      <c r="H272" s="122">
        <v>6115</v>
      </c>
      <c r="I272" s="199">
        <v>0</v>
      </c>
      <c r="J272" s="199">
        <v>0</v>
      </c>
      <c r="K272" s="199">
        <v>0</v>
      </c>
      <c r="L272" s="122">
        <v>6115</v>
      </c>
    </row>
    <row r="273" spans="1:12" ht="15" customHeight="1" x14ac:dyDescent="0.2">
      <c r="A273" s="103" t="s">
        <v>68</v>
      </c>
      <c r="B273" s="198" t="s">
        <v>217</v>
      </c>
      <c r="C273" s="37" t="s">
        <v>218</v>
      </c>
      <c r="D273" s="103">
        <v>250</v>
      </c>
      <c r="E273" s="122">
        <v>82157</v>
      </c>
      <c r="F273" s="122">
        <v>13627</v>
      </c>
      <c r="G273" s="227" t="s">
        <v>457</v>
      </c>
      <c r="H273" s="122">
        <v>68530</v>
      </c>
      <c r="I273" s="199">
        <v>0</v>
      </c>
      <c r="J273" s="199">
        <v>0</v>
      </c>
      <c r="K273" s="199">
        <v>0</v>
      </c>
      <c r="L273" s="122">
        <v>68530</v>
      </c>
    </row>
    <row r="274" spans="1:12" ht="15" customHeight="1" x14ac:dyDescent="0.2">
      <c r="A274" s="103" t="s">
        <v>68</v>
      </c>
      <c r="B274" s="198" t="s">
        <v>219</v>
      </c>
      <c r="C274" s="37" t="s">
        <v>220</v>
      </c>
      <c r="D274" s="103">
        <v>369</v>
      </c>
      <c r="E274" s="122">
        <v>66380580</v>
      </c>
      <c r="F274" s="122">
        <v>65815255</v>
      </c>
      <c r="G274" s="227" t="s">
        <v>457</v>
      </c>
      <c r="H274" s="122">
        <v>565325</v>
      </c>
      <c r="I274" s="199">
        <v>0</v>
      </c>
      <c r="J274" s="199">
        <v>0</v>
      </c>
      <c r="K274" s="199">
        <v>0</v>
      </c>
      <c r="L274" s="122">
        <v>565325</v>
      </c>
    </row>
    <row r="275" spans="1:12" ht="15" customHeight="1" x14ac:dyDescent="0.2">
      <c r="A275" s="103" t="s">
        <v>68</v>
      </c>
      <c r="B275" s="198" t="s">
        <v>291</v>
      </c>
      <c r="C275" s="37" t="s">
        <v>79</v>
      </c>
      <c r="D275" s="103">
        <v>354</v>
      </c>
      <c r="E275" s="122">
        <v>160491</v>
      </c>
      <c r="F275" s="122">
        <v>80368</v>
      </c>
      <c r="G275" s="227" t="s">
        <v>457</v>
      </c>
      <c r="H275" s="122">
        <v>80123</v>
      </c>
      <c r="I275" s="199">
        <v>0</v>
      </c>
      <c r="J275" s="199">
        <v>0</v>
      </c>
      <c r="K275" s="199">
        <v>0</v>
      </c>
      <c r="L275" s="122">
        <v>80123</v>
      </c>
    </row>
    <row r="276" spans="1:12" ht="30" customHeight="1" x14ac:dyDescent="0.2">
      <c r="A276" s="103" t="s">
        <v>68</v>
      </c>
      <c r="B276" s="198" t="s">
        <v>215</v>
      </c>
      <c r="C276" s="37" t="s">
        <v>216</v>
      </c>
      <c r="D276" s="103">
        <v>286</v>
      </c>
      <c r="E276" s="122">
        <v>3934</v>
      </c>
      <c r="F276" s="122">
        <v>1000</v>
      </c>
      <c r="G276" s="227" t="s">
        <v>457</v>
      </c>
      <c r="H276" s="122">
        <v>2934</v>
      </c>
      <c r="I276" s="199">
        <v>0</v>
      </c>
      <c r="J276" s="199">
        <v>0</v>
      </c>
      <c r="K276" s="199">
        <v>0</v>
      </c>
      <c r="L276" s="122">
        <v>2934</v>
      </c>
    </row>
    <row r="277" spans="1:12" ht="30" customHeight="1" x14ac:dyDescent="0.2">
      <c r="A277" s="103" t="s">
        <v>68</v>
      </c>
      <c r="B277" s="198" t="s">
        <v>221</v>
      </c>
      <c r="C277" s="37" t="s">
        <v>222</v>
      </c>
      <c r="D277" s="103">
        <v>172</v>
      </c>
      <c r="E277" s="122">
        <v>39521</v>
      </c>
      <c r="F277" s="122">
        <v>18266</v>
      </c>
      <c r="G277" s="227" t="s">
        <v>457</v>
      </c>
      <c r="H277" s="122">
        <v>21255</v>
      </c>
      <c r="I277" s="199">
        <v>0</v>
      </c>
      <c r="J277" s="199">
        <v>0</v>
      </c>
      <c r="K277" s="199">
        <v>0</v>
      </c>
      <c r="L277" s="122">
        <v>21255</v>
      </c>
    </row>
    <row r="278" spans="1:12" ht="15" customHeight="1" x14ac:dyDescent="0.2">
      <c r="A278" s="103" t="s">
        <v>68</v>
      </c>
      <c r="B278" s="198" t="s">
        <v>273</v>
      </c>
      <c r="C278" s="37" t="s">
        <v>274</v>
      </c>
      <c r="D278" s="103">
        <v>278</v>
      </c>
      <c r="E278" s="122">
        <v>68418</v>
      </c>
      <c r="F278" s="122">
        <v>5575</v>
      </c>
      <c r="G278" s="227" t="s">
        <v>457</v>
      </c>
      <c r="H278" s="122">
        <v>62843</v>
      </c>
      <c r="I278" s="199">
        <v>0</v>
      </c>
      <c r="J278" s="199">
        <v>0</v>
      </c>
      <c r="K278" s="199">
        <v>0</v>
      </c>
      <c r="L278" s="122">
        <v>62843</v>
      </c>
    </row>
    <row r="279" spans="1:12" ht="15" customHeight="1" x14ac:dyDescent="0.2">
      <c r="A279" s="103" t="s">
        <v>68</v>
      </c>
      <c r="B279" s="198" t="s">
        <v>292</v>
      </c>
      <c r="C279" s="37" t="s">
        <v>293</v>
      </c>
      <c r="D279" s="103">
        <v>337</v>
      </c>
      <c r="E279" s="122">
        <v>56740</v>
      </c>
      <c r="F279" s="122">
        <v>55085</v>
      </c>
      <c r="G279" s="227" t="s">
        <v>457</v>
      </c>
      <c r="H279" s="122">
        <v>1655</v>
      </c>
      <c r="I279" s="199">
        <v>0</v>
      </c>
      <c r="J279" s="199">
        <v>0</v>
      </c>
      <c r="K279" s="199">
        <v>0</v>
      </c>
      <c r="L279" s="122">
        <v>1655</v>
      </c>
    </row>
    <row r="280" spans="1:12" ht="30" customHeight="1" x14ac:dyDescent="0.2">
      <c r="A280" s="103" t="s">
        <v>68</v>
      </c>
      <c r="B280" s="198" t="s">
        <v>195</v>
      </c>
      <c r="C280" s="37" t="s">
        <v>196</v>
      </c>
      <c r="D280" s="103">
        <v>11</v>
      </c>
      <c r="E280" s="122">
        <v>2001920</v>
      </c>
      <c r="F280" s="122">
        <v>1183130</v>
      </c>
      <c r="G280" s="227" t="s">
        <v>457</v>
      </c>
      <c r="H280" s="122">
        <v>818790</v>
      </c>
      <c r="I280" s="199">
        <v>0</v>
      </c>
      <c r="J280" s="199">
        <v>0</v>
      </c>
      <c r="K280" s="199">
        <v>0</v>
      </c>
      <c r="L280" s="122">
        <v>818790</v>
      </c>
    </row>
    <row r="281" spans="1:12" ht="15" customHeight="1" x14ac:dyDescent="0.2">
      <c r="A281" s="103" t="s">
        <v>68</v>
      </c>
      <c r="B281" s="198" t="s">
        <v>223</v>
      </c>
      <c r="C281" s="37" t="s">
        <v>224</v>
      </c>
      <c r="D281" s="103">
        <v>313</v>
      </c>
      <c r="E281" s="122">
        <v>255446</v>
      </c>
      <c r="F281" s="122">
        <v>89237</v>
      </c>
      <c r="G281" s="227" t="s">
        <v>457</v>
      </c>
      <c r="H281" s="122">
        <v>166209</v>
      </c>
      <c r="I281" s="199">
        <v>0</v>
      </c>
      <c r="J281" s="199">
        <v>0</v>
      </c>
      <c r="K281" s="199">
        <v>0</v>
      </c>
      <c r="L281" s="122">
        <v>166209</v>
      </c>
    </row>
    <row r="282" spans="1:12" ht="30" customHeight="1" x14ac:dyDescent="0.2">
      <c r="A282" s="103" t="s">
        <v>68</v>
      </c>
      <c r="B282" s="198" t="s">
        <v>225</v>
      </c>
      <c r="C282" s="37" t="s">
        <v>226</v>
      </c>
      <c r="D282" s="103">
        <v>330</v>
      </c>
      <c r="E282" s="122">
        <v>220093</v>
      </c>
      <c r="F282" s="122">
        <v>90234</v>
      </c>
      <c r="G282" s="227" t="s">
        <v>457</v>
      </c>
      <c r="H282" s="122">
        <v>129859</v>
      </c>
      <c r="I282" s="199">
        <v>0</v>
      </c>
      <c r="J282" s="199">
        <v>0</v>
      </c>
      <c r="K282" s="199">
        <v>0</v>
      </c>
      <c r="L282" s="122">
        <v>129859</v>
      </c>
    </row>
    <row r="283" spans="1:12" ht="30" customHeight="1" x14ac:dyDescent="0.2">
      <c r="A283" s="103" t="s">
        <v>68</v>
      </c>
      <c r="B283" s="198" t="s">
        <v>227</v>
      </c>
      <c r="C283" s="37" t="s">
        <v>228</v>
      </c>
      <c r="D283" s="103">
        <v>272</v>
      </c>
      <c r="E283" s="122">
        <v>310676</v>
      </c>
      <c r="F283" s="122">
        <v>107194</v>
      </c>
      <c r="G283" s="227" t="s">
        <v>457</v>
      </c>
      <c r="H283" s="122">
        <v>203482</v>
      </c>
      <c r="I283" s="199">
        <v>0</v>
      </c>
      <c r="J283" s="199">
        <v>0</v>
      </c>
      <c r="K283" s="199">
        <v>0</v>
      </c>
      <c r="L283" s="122">
        <v>203482</v>
      </c>
    </row>
    <row r="284" spans="1:12" ht="30" customHeight="1" x14ac:dyDescent="0.2">
      <c r="A284" s="103" t="s">
        <v>68</v>
      </c>
      <c r="B284" s="198" t="s">
        <v>229</v>
      </c>
      <c r="C284" s="37" t="s">
        <v>230</v>
      </c>
      <c r="D284" s="103">
        <v>276</v>
      </c>
      <c r="E284" s="122">
        <v>98097</v>
      </c>
      <c r="F284" s="122">
        <v>5803</v>
      </c>
      <c r="G284" s="227" t="s">
        <v>457</v>
      </c>
      <c r="H284" s="122">
        <v>92294</v>
      </c>
      <c r="I284" s="199">
        <v>0</v>
      </c>
      <c r="J284" s="199">
        <v>0</v>
      </c>
      <c r="K284" s="199">
        <v>0</v>
      </c>
      <c r="L284" s="122">
        <v>92294</v>
      </c>
    </row>
    <row r="285" spans="1:12" ht="60" x14ac:dyDescent="0.2">
      <c r="A285" s="103" t="s">
        <v>68</v>
      </c>
      <c r="B285" s="198" t="s">
        <v>231</v>
      </c>
      <c r="C285" s="37" t="s">
        <v>232</v>
      </c>
      <c r="D285" s="103">
        <v>292</v>
      </c>
      <c r="E285" s="122">
        <v>605343</v>
      </c>
      <c r="F285" s="122">
        <v>154725</v>
      </c>
      <c r="G285" s="227" t="s">
        <v>457</v>
      </c>
      <c r="H285" s="122">
        <v>450618</v>
      </c>
      <c r="I285" s="199">
        <v>0</v>
      </c>
      <c r="J285" s="199">
        <v>0</v>
      </c>
      <c r="K285" s="199">
        <v>0</v>
      </c>
      <c r="L285" s="122">
        <v>450618</v>
      </c>
    </row>
    <row r="286" spans="1:12" ht="30" customHeight="1" x14ac:dyDescent="0.2">
      <c r="A286" s="103" t="s">
        <v>68</v>
      </c>
      <c r="B286" s="198" t="s">
        <v>233</v>
      </c>
      <c r="C286" s="37" t="s">
        <v>234</v>
      </c>
      <c r="D286" s="103">
        <v>209</v>
      </c>
      <c r="E286" s="122">
        <v>100210</v>
      </c>
      <c r="F286" s="122">
        <v>1000</v>
      </c>
      <c r="G286" s="227" t="s">
        <v>457</v>
      </c>
      <c r="H286" s="122">
        <v>99210</v>
      </c>
      <c r="I286" s="199">
        <v>0</v>
      </c>
      <c r="J286" s="199">
        <v>0</v>
      </c>
      <c r="K286" s="199">
        <v>0</v>
      </c>
      <c r="L286" s="122">
        <v>99210</v>
      </c>
    </row>
    <row r="287" spans="1:12" ht="15" customHeight="1" x14ac:dyDescent="0.2">
      <c r="A287" s="103" t="s">
        <v>68</v>
      </c>
      <c r="B287" s="198" t="s">
        <v>235</v>
      </c>
      <c r="C287" s="37" t="s">
        <v>236</v>
      </c>
      <c r="D287" s="103">
        <v>183</v>
      </c>
      <c r="E287" s="122">
        <v>24654</v>
      </c>
      <c r="F287" s="122">
        <v>6249</v>
      </c>
      <c r="G287" s="227" t="s">
        <v>457</v>
      </c>
      <c r="H287" s="122">
        <v>18405</v>
      </c>
      <c r="I287" s="199">
        <v>0</v>
      </c>
      <c r="J287" s="199">
        <v>0</v>
      </c>
      <c r="K287" s="199">
        <v>0</v>
      </c>
      <c r="L287" s="122">
        <v>18405</v>
      </c>
    </row>
    <row r="288" spans="1:12" ht="15" customHeight="1" x14ac:dyDescent="0.2">
      <c r="A288" s="103" t="s">
        <v>68</v>
      </c>
      <c r="B288" s="198" t="s">
        <v>264</v>
      </c>
      <c r="C288" s="37" t="s">
        <v>265</v>
      </c>
      <c r="D288" s="103">
        <v>251</v>
      </c>
      <c r="E288" s="122">
        <v>33464</v>
      </c>
      <c r="F288" s="122">
        <v>8855</v>
      </c>
      <c r="G288" s="227" t="s">
        <v>457</v>
      </c>
      <c r="H288" s="122">
        <v>24609</v>
      </c>
      <c r="I288" s="199">
        <v>0</v>
      </c>
      <c r="J288" s="199">
        <v>0</v>
      </c>
      <c r="K288" s="199">
        <v>0</v>
      </c>
      <c r="L288" s="122">
        <v>24609</v>
      </c>
    </row>
    <row r="289" spans="1:12" ht="15" customHeight="1" x14ac:dyDescent="0.2">
      <c r="A289" s="103" t="s">
        <v>68</v>
      </c>
      <c r="B289" s="198" t="s">
        <v>281</v>
      </c>
      <c r="C289" s="37" t="s">
        <v>226</v>
      </c>
      <c r="D289" s="103">
        <v>91</v>
      </c>
      <c r="E289" s="122">
        <v>2373</v>
      </c>
      <c r="F289" s="122">
        <v>1275</v>
      </c>
      <c r="G289" s="227" t="s">
        <v>457</v>
      </c>
      <c r="H289" s="122">
        <v>1098</v>
      </c>
      <c r="I289" s="199">
        <v>0</v>
      </c>
      <c r="J289" s="199">
        <v>0</v>
      </c>
      <c r="K289" s="199">
        <v>0</v>
      </c>
      <c r="L289" s="122">
        <v>1098</v>
      </c>
    </row>
    <row r="290" spans="1:12" ht="15" customHeight="1" x14ac:dyDescent="0.2">
      <c r="A290" s="103" t="s">
        <v>68</v>
      </c>
      <c r="B290" s="198" t="s">
        <v>237</v>
      </c>
      <c r="C290" s="37" t="s">
        <v>208</v>
      </c>
      <c r="D290" s="103">
        <v>192</v>
      </c>
      <c r="E290" s="122">
        <v>38653</v>
      </c>
      <c r="F290" s="122">
        <v>12345</v>
      </c>
      <c r="G290" s="227" t="s">
        <v>457</v>
      </c>
      <c r="H290" s="122">
        <v>26308</v>
      </c>
      <c r="I290" s="199">
        <v>0</v>
      </c>
      <c r="J290" s="199">
        <v>0</v>
      </c>
      <c r="K290" s="199">
        <v>0</v>
      </c>
      <c r="L290" s="122">
        <v>26308</v>
      </c>
    </row>
    <row r="291" spans="1:12" ht="15" customHeight="1" x14ac:dyDescent="0.2">
      <c r="A291" s="103" t="s">
        <v>68</v>
      </c>
      <c r="B291" s="198" t="s">
        <v>238</v>
      </c>
      <c r="C291" s="37" t="s">
        <v>239</v>
      </c>
      <c r="D291" s="103">
        <v>297</v>
      </c>
      <c r="E291" s="122">
        <v>16163614</v>
      </c>
      <c r="F291" s="122">
        <v>4405087</v>
      </c>
      <c r="G291" s="227" t="s">
        <v>457</v>
      </c>
      <c r="H291" s="122">
        <v>11758527</v>
      </c>
      <c r="I291" s="199">
        <v>0</v>
      </c>
      <c r="J291" s="199">
        <v>0</v>
      </c>
      <c r="K291" s="199">
        <v>0</v>
      </c>
      <c r="L291" s="122">
        <v>11758527</v>
      </c>
    </row>
    <row r="292" spans="1:12" ht="15" customHeight="1" x14ac:dyDescent="0.2">
      <c r="A292" s="103" t="s">
        <v>68</v>
      </c>
      <c r="B292" s="198" t="s">
        <v>240</v>
      </c>
      <c r="C292" s="37" t="s">
        <v>241</v>
      </c>
      <c r="D292" s="103">
        <v>166</v>
      </c>
      <c r="E292" s="122">
        <v>659009</v>
      </c>
      <c r="F292" s="122">
        <v>215541</v>
      </c>
      <c r="G292" s="227" t="s">
        <v>457</v>
      </c>
      <c r="H292" s="122">
        <v>443468</v>
      </c>
      <c r="I292" s="199">
        <v>0</v>
      </c>
      <c r="J292" s="199">
        <v>0</v>
      </c>
      <c r="K292" s="199">
        <v>0</v>
      </c>
      <c r="L292" s="122">
        <v>443468</v>
      </c>
    </row>
    <row r="293" spans="1:12" ht="15" customHeight="1" x14ac:dyDescent="0.2">
      <c r="A293" s="103" t="s">
        <v>68</v>
      </c>
      <c r="B293" s="198" t="s">
        <v>282</v>
      </c>
      <c r="C293" s="37" t="s">
        <v>283</v>
      </c>
      <c r="D293" s="103">
        <v>268</v>
      </c>
      <c r="E293" s="122">
        <v>549337</v>
      </c>
      <c r="F293" s="122">
        <v>74880</v>
      </c>
      <c r="G293" s="227" t="s">
        <v>457</v>
      </c>
      <c r="H293" s="122">
        <v>474457</v>
      </c>
      <c r="I293" s="199">
        <v>0</v>
      </c>
      <c r="J293" s="199">
        <v>0</v>
      </c>
      <c r="K293" s="199">
        <v>0</v>
      </c>
      <c r="L293" s="122">
        <v>474457</v>
      </c>
    </row>
    <row r="294" spans="1:12" ht="15" customHeight="1" x14ac:dyDescent="0.2">
      <c r="A294" s="103" t="s">
        <v>68</v>
      </c>
      <c r="B294" s="198" t="s">
        <v>242</v>
      </c>
      <c r="C294" s="37" t="s">
        <v>243</v>
      </c>
      <c r="D294" s="103">
        <v>32</v>
      </c>
      <c r="E294" s="122">
        <v>266637</v>
      </c>
      <c r="F294" s="122">
        <v>137331</v>
      </c>
      <c r="G294" s="227" t="s">
        <v>457</v>
      </c>
      <c r="H294" s="122">
        <v>129306</v>
      </c>
      <c r="I294" s="199">
        <v>0</v>
      </c>
      <c r="J294" s="199">
        <v>0</v>
      </c>
      <c r="K294" s="199">
        <v>0</v>
      </c>
      <c r="L294" s="122">
        <v>129306</v>
      </c>
    </row>
    <row r="295" spans="1:12" ht="15" customHeight="1" x14ac:dyDescent="0.2">
      <c r="A295" s="103" t="s">
        <v>68</v>
      </c>
      <c r="B295" s="198" t="s">
        <v>244</v>
      </c>
      <c r="C295" s="37" t="s">
        <v>245</v>
      </c>
      <c r="D295" s="103">
        <v>368</v>
      </c>
      <c r="E295" s="122">
        <v>237345</v>
      </c>
      <c r="F295" s="122">
        <v>139031</v>
      </c>
      <c r="G295" s="227" t="s">
        <v>457</v>
      </c>
      <c r="H295" s="122">
        <v>98314</v>
      </c>
      <c r="I295" s="199">
        <v>0</v>
      </c>
      <c r="J295" s="199">
        <v>0</v>
      </c>
      <c r="K295" s="199">
        <v>0</v>
      </c>
      <c r="L295" s="122">
        <v>98314</v>
      </c>
    </row>
    <row r="296" spans="1:12" ht="15" customHeight="1" x14ac:dyDescent="0.2">
      <c r="A296" s="103" t="s">
        <v>68</v>
      </c>
      <c r="B296" s="198" t="s">
        <v>246</v>
      </c>
      <c r="C296" s="37" t="s">
        <v>247</v>
      </c>
      <c r="D296" s="103">
        <v>357</v>
      </c>
      <c r="E296" s="122">
        <v>1199049</v>
      </c>
      <c r="F296" s="122">
        <v>971288</v>
      </c>
      <c r="G296" s="227" t="s">
        <v>457</v>
      </c>
      <c r="H296" s="122">
        <v>227761</v>
      </c>
      <c r="I296" s="199">
        <v>0</v>
      </c>
      <c r="J296" s="199">
        <v>0</v>
      </c>
      <c r="K296" s="199">
        <v>0</v>
      </c>
      <c r="L296" s="122">
        <v>227761</v>
      </c>
    </row>
    <row r="297" spans="1:12" ht="15" customHeight="1" x14ac:dyDescent="0.2">
      <c r="A297" s="103" t="s">
        <v>68</v>
      </c>
      <c r="B297" s="198" t="s">
        <v>284</v>
      </c>
      <c r="C297" s="37" t="s">
        <v>285</v>
      </c>
      <c r="D297" s="103">
        <v>148</v>
      </c>
      <c r="E297" s="122">
        <v>5963</v>
      </c>
      <c r="F297" s="122">
        <v>2158</v>
      </c>
      <c r="G297" s="227" t="s">
        <v>457</v>
      </c>
      <c r="H297" s="122">
        <v>3805</v>
      </c>
      <c r="I297" s="199">
        <v>0</v>
      </c>
      <c r="J297" s="199">
        <v>0</v>
      </c>
      <c r="K297" s="199">
        <v>0</v>
      </c>
      <c r="L297" s="122">
        <v>3805</v>
      </c>
    </row>
    <row r="298" spans="1:12" ht="15" customHeight="1" x14ac:dyDescent="0.2">
      <c r="A298" s="103" t="s">
        <v>68</v>
      </c>
      <c r="B298" s="198" t="s">
        <v>248</v>
      </c>
      <c r="C298" s="37" t="s">
        <v>249</v>
      </c>
      <c r="D298" s="103">
        <v>153</v>
      </c>
      <c r="E298" s="122">
        <v>140532</v>
      </c>
      <c r="F298" s="122">
        <v>62155</v>
      </c>
      <c r="G298" s="227" t="s">
        <v>457</v>
      </c>
      <c r="H298" s="122">
        <v>78377</v>
      </c>
      <c r="I298" s="199">
        <v>0</v>
      </c>
      <c r="J298" s="199">
        <v>0</v>
      </c>
      <c r="K298" s="199">
        <v>0</v>
      </c>
      <c r="L298" s="122">
        <v>78377</v>
      </c>
    </row>
    <row r="299" spans="1:12" ht="15" customHeight="1" x14ac:dyDescent="0.2">
      <c r="A299" s="103" t="s">
        <v>68</v>
      </c>
      <c r="B299" s="198" t="s">
        <v>266</v>
      </c>
      <c r="C299" s="37" t="s">
        <v>267</v>
      </c>
      <c r="D299" s="103">
        <v>155</v>
      </c>
      <c r="E299" s="122">
        <v>247195</v>
      </c>
      <c r="F299" s="122">
        <v>2026</v>
      </c>
      <c r="G299" s="227" t="s">
        <v>457</v>
      </c>
      <c r="H299" s="122">
        <v>245169</v>
      </c>
      <c r="I299" s="199">
        <v>0</v>
      </c>
      <c r="J299" s="199">
        <v>0</v>
      </c>
      <c r="K299" s="199">
        <v>0</v>
      </c>
      <c r="L299" s="122">
        <v>245169</v>
      </c>
    </row>
    <row r="300" spans="1:12" ht="15" customHeight="1" x14ac:dyDescent="0.2">
      <c r="A300" s="103" t="s">
        <v>68</v>
      </c>
      <c r="B300" s="198" t="s">
        <v>250</v>
      </c>
      <c r="C300" s="37" t="s">
        <v>239</v>
      </c>
      <c r="D300" s="103">
        <v>48</v>
      </c>
      <c r="E300" s="122">
        <v>1841459</v>
      </c>
      <c r="F300" s="122">
        <v>1214783</v>
      </c>
      <c r="G300" s="227" t="s">
        <v>457</v>
      </c>
      <c r="H300" s="122">
        <v>626676</v>
      </c>
      <c r="I300" s="199">
        <v>0</v>
      </c>
      <c r="J300" s="199">
        <v>0</v>
      </c>
      <c r="K300" s="199">
        <v>0</v>
      </c>
      <c r="L300" s="122">
        <v>626676</v>
      </c>
    </row>
    <row r="301" spans="1:12" ht="15" customHeight="1" x14ac:dyDescent="0.2">
      <c r="A301" s="103" t="s">
        <v>68</v>
      </c>
      <c r="B301" s="198" t="s">
        <v>251</v>
      </c>
      <c r="C301" s="37" t="s">
        <v>252</v>
      </c>
      <c r="D301" s="103">
        <v>350</v>
      </c>
      <c r="E301" s="122">
        <v>139137</v>
      </c>
      <c r="F301" s="122">
        <v>54044</v>
      </c>
      <c r="G301" s="227" t="s">
        <v>457</v>
      </c>
      <c r="H301" s="122">
        <v>85093</v>
      </c>
      <c r="I301" s="199">
        <v>0</v>
      </c>
      <c r="J301" s="199">
        <v>0</v>
      </c>
      <c r="K301" s="199">
        <v>0</v>
      </c>
      <c r="L301" s="122">
        <v>85093</v>
      </c>
    </row>
    <row r="302" spans="1:12" ht="15" customHeight="1" x14ac:dyDescent="0.2">
      <c r="A302" s="103" t="s">
        <v>68</v>
      </c>
      <c r="B302" s="198" t="s">
        <v>268</v>
      </c>
      <c r="C302" s="37" t="s">
        <v>269</v>
      </c>
      <c r="D302" s="103">
        <v>173</v>
      </c>
      <c r="E302" s="122">
        <v>76582</v>
      </c>
      <c r="F302" s="122">
        <v>41508</v>
      </c>
      <c r="G302" s="227" t="s">
        <v>457</v>
      </c>
      <c r="H302" s="122">
        <v>35074</v>
      </c>
      <c r="I302" s="199">
        <v>0</v>
      </c>
      <c r="J302" s="199">
        <v>0</v>
      </c>
      <c r="K302" s="199">
        <v>0</v>
      </c>
      <c r="L302" s="122">
        <v>35074</v>
      </c>
    </row>
    <row r="303" spans="1:12" ht="30" customHeight="1" x14ac:dyDescent="0.2">
      <c r="A303" s="103" t="s">
        <v>68</v>
      </c>
      <c r="B303" s="198" t="s">
        <v>275</v>
      </c>
      <c r="C303" s="37" t="s">
        <v>276</v>
      </c>
      <c r="D303" s="103">
        <v>261</v>
      </c>
      <c r="E303" s="122">
        <v>43542</v>
      </c>
      <c r="F303" s="122">
        <v>22564</v>
      </c>
      <c r="G303" s="227" t="s">
        <v>457</v>
      </c>
      <c r="H303" s="122">
        <v>20978</v>
      </c>
      <c r="I303" s="199">
        <v>0</v>
      </c>
      <c r="J303" s="199">
        <v>0</v>
      </c>
      <c r="K303" s="199">
        <v>0</v>
      </c>
      <c r="L303" s="122">
        <v>20978</v>
      </c>
    </row>
    <row r="304" spans="1:12" ht="15" customHeight="1" x14ac:dyDescent="0.2">
      <c r="A304" s="103" t="s">
        <v>68</v>
      </c>
      <c r="B304" s="198" t="s">
        <v>270</v>
      </c>
      <c r="C304" s="37" t="s">
        <v>256</v>
      </c>
      <c r="D304" s="103">
        <v>244</v>
      </c>
      <c r="E304" s="122">
        <v>132122</v>
      </c>
      <c r="F304" s="122">
        <v>74816</v>
      </c>
      <c r="G304" s="227" t="s">
        <v>457</v>
      </c>
      <c r="H304" s="122">
        <v>57306</v>
      </c>
      <c r="I304" s="199">
        <v>0</v>
      </c>
      <c r="J304" s="199">
        <v>0</v>
      </c>
      <c r="K304" s="199">
        <v>0</v>
      </c>
      <c r="L304" s="122">
        <v>57306</v>
      </c>
    </row>
    <row r="305" spans="1:12" ht="15" customHeight="1" x14ac:dyDescent="0.2">
      <c r="A305" s="103" t="s">
        <v>68</v>
      </c>
      <c r="B305" s="198" t="s">
        <v>286</v>
      </c>
      <c r="C305" s="37" t="s">
        <v>239</v>
      </c>
      <c r="D305" s="103">
        <v>280</v>
      </c>
      <c r="E305" s="122">
        <v>5931</v>
      </c>
      <c r="F305" s="122">
        <v>1000</v>
      </c>
      <c r="G305" s="227" t="s">
        <v>457</v>
      </c>
      <c r="H305" s="122">
        <v>4931</v>
      </c>
      <c r="I305" s="199">
        <v>0</v>
      </c>
      <c r="J305" s="199">
        <v>0</v>
      </c>
      <c r="K305" s="199">
        <v>0</v>
      </c>
      <c r="L305" s="122">
        <v>4931</v>
      </c>
    </row>
    <row r="306" spans="1:12" ht="15" customHeight="1" x14ac:dyDescent="0.2">
      <c r="A306" s="103" t="s">
        <v>68</v>
      </c>
      <c r="B306" s="198" t="s">
        <v>294</v>
      </c>
      <c r="C306" s="37" t="s">
        <v>198</v>
      </c>
      <c r="D306" s="103">
        <v>362</v>
      </c>
      <c r="E306" s="122">
        <v>55547</v>
      </c>
      <c r="F306" s="122">
        <v>49268</v>
      </c>
      <c r="G306" s="227" t="s">
        <v>457</v>
      </c>
      <c r="H306" s="122">
        <v>6279</v>
      </c>
      <c r="I306" s="199">
        <v>0</v>
      </c>
      <c r="J306" s="199">
        <v>0</v>
      </c>
      <c r="K306" s="199">
        <v>0</v>
      </c>
      <c r="L306" s="122">
        <v>6279</v>
      </c>
    </row>
    <row r="307" spans="1:12" ht="15" customHeight="1" x14ac:dyDescent="0.2">
      <c r="A307" s="103" t="s">
        <v>68</v>
      </c>
      <c r="B307" s="198" t="s">
        <v>253</v>
      </c>
      <c r="C307" s="37" t="s">
        <v>254</v>
      </c>
      <c r="D307" s="103">
        <v>171</v>
      </c>
      <c r="E307" s="122">
        <v>159068</v>
      </c>
      <c r="F307" s="122">
        <v>55602</v>
      </c>
      <c r="G307" s="227" t="s">
        <v>457</v>
      </c>
      <c r="H307" s="122">
        <v>103466</v>
      </c>
      <c r="I307" s="199">
        <v>0</v>
      </c>
      <c r="J307" s="199">
        <v>0</v>
      </c>
      <c r="K307" s="199">
        <v>0</v>
      </c>
      <c r="L307" s="122">
        <v>103466</v>
      </c>
    </row>
    <row r="308" spans="1:12" s="229" customFormat="1" ht="30" customHeight="1" x14ac:dyDescent="0.2">
      <c r="A308" s="103" t="s">
        <v>68</v>
      </c>
      <c r="B308" s="198" t="s">
        <v>255</v>
      </c>
      <c r="C308" s="37" t="s">
        <v>256</v>
      </c>
      <c r="D308" s="103">
        <v>258</v>
      </c>
      <c r="E308" s="122">
        <v>478898</v>
      </c>
      <c r="F308" s="122">
        <v>117893</v>
      </c>
      <c r="G308" s="227" t="s">
        <v>457</v>
      </c>
      <c r="H308" s="122">
        <v>361005</v>
      </c>
      <c r="I308" s="199">
        <v>0</v>
      </c>
      <c r="J308" s="199">
        <v>0</v>
      </c>
      <c r="K308" s="199">
        <v>0</v>
      </c>
      <c r="L308" s="122">
        <v>361005</v>
      </c>
    </row>
    <row r="309" spans="1:12" ht="15" customHeight="1" x14ac:dyDescent="0.2">
      <c r="A309" s="103" t="s">
        <v>68</v>
      </c>
      <c r="B309" s="198" t="s">
        <v>287</v>
      </c>
      <c r="C309" s="37" t="s">
        <v>288</v>
      </c>
      <c r="D309" s="103">
        <v>228</v>
      </c>
      <c r="E309" s="122">
        <v>51918</v>
      </c>
      <c r="F309" s="122">
        <v>1000</v>
      </c>
      <c r="G309" s="227" t="s">
        <v>457</v>
      </c>
      <c r="H309" s="122">
        <v>50918</v>
      </c>
      <c r="I309" s="199">
        <v>0</v>
      </c>
      <c r="J309" s="199">
        <v>0</v>
      </c>
      <c r="K309" s="199">
        <v>0</v>
      </c>
      <c r="L309" s="122">
        <v>50918</v>
      </c>
    </row>
    <row r="310" spans="1:12" ht="15" customHeight="1" x14ac:dyDescent="0.2">
      <c r="A310" s="103" t="s">
        <v>68</v>
      </c>
      <c r="B310" s="198" t="s">
        <v>289</v>
      </c>
      <c r="C310" s="37" t="s">
        <v>290</v>
      </c>
      <c r="D310" s="103">
        <v>308</v>
      </c>
      <c r="E310" s="122">
        <v>1359</v>
      </c>
      <c r="F310" s="122">
        <v>1000</v>
      </c>
      <c r="G310" s="227" t="s">
        <v>457</v>
      </c>
      <c r="H310" s="122">
        <v>359</v>
      </c>
      <c r="I310" s="199">
        <v>0</v>
      </c>
      <c r="J310" s="199">
        <v>0</v>
      </c>
      <c r="K310" s="199">
        <v>0</v>
      </c>
      <c r="L310" s="122">
        <v>359</v>
      </c>
    </row>
    <row r="311" spans="1:12" ht="15" customHeight="1" x14ac:dyDescent="0.2">
      <c r="A311" s="103" t="s">
        <v>68</v>
      </c>
      <c r="B311" s="198" t="s">
        <v>257</v>
      </c>
      <c r="C311" s="37" t="s">
        <v>239</v>
      </c>
      <c r="D311" s="103">
        <v>260</v>
      </c>
      <c r="E311" s="122">
        <v>1213813</v>
      </c>
      <c r="F311" s="122">
        <v>664042</v>
      </c>
      <c r="G311" s="227" t="s">
        <v>457</v>
      </c>
      <c r="H311" s="122">
        <v>549771</v>
      </c>
      <c r="I311" s="199">
        <v>0</v>
      </c>
      <c r="J311" s="199">
        <v>0</v>
      </c>
      <c r="K311" s="199">
        <v>0</v>
      </c>
      <c r="L311" s="122">
        <v>549771</v>
      </c>
    </row>
    <row r="312" spans="1:12" ht="15" customHeight="1" x14ac:dyDescent="0.2">
      <c r="A312" s="103" t="s">
        <v>68</v>
      </c>
      <c r="B312" s="198" t="s">
        <v>271</v>
      </c>
      <c r="C312" s="37" t="s">
        <v>272</v>
      </c>
      <c r="D312" s="103">
        <v>346</v>
      </c>
      <c r="E312" s="122">
        <v>55556</v>
      </c>
      <c r="F312" s="122">
        <v>27581</v>
      </c>
      <c r="G312" s="227" t="s">
        <v>457</v>
      </c>
      <c r="H312" s="122">
        <v>27975</v>
      </c>
      <c r="I312" s="199">
        <v>0</v>
      </c>
      <c r="J312" s="199">
        <v>0</v>
      </c>
      <c r="K312" s="199">
        <v>0</v>
      </c>
      <c r="L312" s="122">
        <v>27975</v>
      </c>
    </row>
    <row r="313" spans="1:12" ht="15" customHeight="1" x14ac:dyDescent="0.2">
      <c r="A313" s="103" t="s">
        <v>68</v>
      </c>
      <c r="B313" s="198" t="s">
        <v>260</v>
      </c>
      <c r="C313" s="37" t="s">
        <v>261</v>
      </c>
      <c r="D313" s="103">
        <v>351</v>
      </c>
      <c r="E313" s="122">
        <v>141465</v>
      </c>
      <c r="F313" s="122">
        <v>72454</v>
      </c>
      <c r="G313" s="227" t="s">
        <v>457</v>
      </c>
      <c r="H313" s="122">
        <v>69011</v>
      </c>
      <c r="I313" s="199">
        <v>0</v>
      </c>
      <c r="J313" s="199">
        <v>0</v>
      </c>
      <c r="K313" s="199">
        <v>0</v>
      </c>
      <c r="L313" s="122">
        <v>69011</v>
      </c>
    </row>
    <row r="314" spans="1:12" ht="15" customHeight="1" x14ac:dyDescent="0.2">
      <c r="A314" s="206" t="s">
        <v>380</v>
      </c>
      <c r="B314" s="228" t="s">
        <v>457</v>
      </c>
      <c r="C314" s="228" t="s">
        <v>457</v>
      </c>
      <c r="D314" s="228" t="s">
        <v>457</v>
      </c>
      <c r="E314" s="117">
        <f>SUBTOTAL(109,school201314[Program
Costs])</f>
        <v>94359168</v>
      </c>
      <c r="F314" s="117">
        <f>SUBTOTAL(109,school201314[Less: Net
 Payments and 
Offsets 2])</f>
        <v>76061480</v>
      </c>
      <c r="G314" s="228" t="s">
        <v>457</v>
      </c>
      <c r="H314" s="117">
        <f>SUBTOTAL(109,school201314[Accounts Payable
Balance])</f>
        <v>18297688</v>
      </c>
      <c r="I314" s="204">
        <f>SUBTOTAL(109,school201314[Established
Accounts Receivable])</f>
        <v>0</v>
      </c>
      <c r="J314" s="204">
        <f>SUBTOTAL(109,school201314[Less: 
Recovered 
Amount])</f>
        <v>0</v>
      </c>
      <c r="K314" s="204">
        <f>SUBTOTAL(109,school201314[Accounts Receivable
Balance])</f>
        <v>0</v>
      </c>
      <c r="L314" s="117">
        <f>SUBTOTAL(109,school201314[Net
Balance])</f>
        <v>18297688</v>
      </c>
    </row>
    <row r="315" spans="1:12" x14ac:dyDescent="0.2">
      <c r="A315" s="169" t="s">
        <v>463</v>
      </c>
      <c r="B315" s="198"/>
      <c r="C315" s="37"/>
      <c r="D315" s="103"/>
      <c r="E315" s="122"/>
      <c r="F315" s="122"/>
      <c r="G315" s="122"/>
      <c r="H315" s="122"/>
      <c r="I315" s="122"/>
      <c r="J315" s="122"/>
      <c r="K315" s="122"/>
      <c r="L315" s="122"/>
    </row>
    <row r="316" spans="1:12" ht="50.1" customHeight="1" x14ac:dyDescent="0.2">
      <c r="A316" s="40" t="s">
        <v>1</v>
      </c>
      <c r="B316" s="40" t="s">
        <v>15</v>
      </c>
      <c r="C316" s="40" t="s">
        <v>16</v>
      </c>
      <c r="D316" s="40" t="s">
        <v>454</v>
      </c>
      <c r="E316" s="230" t="s">
        <v>3</v>
      </c>
      <c r="F316" s="231" t="s">
        <v>592</v>
      </c>
      <c r="G316" s="232" t="s">
        <v>462</v>
      </c>
      <c r="H316" s="230" t="s">
        <v>461</v>
      </c>
      <c r="I316" s="197" t="s">
        <v>460</v>
      </c>
      <c r="J316" s="230" t="s">
        <v>459</v>
      </c>
      <c r="K316" s="230" t="s">
        <v>458</v>
      </c>
      <c r="L316" s="230" t="s">
        <v>17</v>
      </c>
    </row>
    <row r="317" spans="1:12" ht="15" customHeight="1" x14ac:dyDescent="0.2">
      <c r="A317" s="103" t="s">
        <v>69</v>
      </c>
      <c r="B317" s="198" t="s">
        <v>277</v>
      </c>
      <c r="C317" s="37" t="s">
        <v>278</v>
      </c>
      <c r="D317" s="103">
        <v>305</v>
      </c>
      <c r="E317" s="122">
        <v>74278</v>
      </c>
      <c r="F317" s="122">
        <v>21976</v>
      </c>
      <c r="G317" s="227" t="s">
        <v>457</v>
      </c>
      <c r="H317" s="122">
        <v>52302</v>
      </c>
      <c r="I317" s="199">
        <v>0</v>
      </c>
      <c r="J317" s="199">
        <v>0</v>
      </c>
      <c r="K317" s="199">
        <v>0</v>
      </c>
      <c r="L317" s="122">
        <v>52302</v>
      </c>
    </row>
    <row r="318" spans="1:12" ht="15" customHeight="1" x14ac:dyDescent="0.2">
      <c r="A318" s="103" t="s">
        <v>69</v>
      </c>
      <c r="B318" s="198" t="s">
        <v>217</v>
      </c>
      <c r="C318" s="37" t="s">
        <v>218</v>
      </c>
      <c r="D318" s="103">
        <v>250</v>
      </c>
      <c r="E318" s="122">
        <v>140238</v>
      </c>
      <c r="F318" s="122">
        <v>56175</v>
      </c>
      <c r="G318" s="227" t="s">
        <v>457</v>
      </c>
      <c r="H318" s="122">
        <v>84063</v>
      </c>
      <c r="I318" s="199">
        <v>0</v>
      </c>
      <c r="J318" s="199">
        <v>0</v>
      </c>
      <c r="K318" s="199">
        <v>0</v>
      </c>
      <c r="L318" s="122">
        <v>84063</v>
      </c>
    </row>
    <row r="319" spans="1:12" ht="15" customHeight="1" x14ac:dyDescent="0.2">
      <c r="A319" s="103" t="s">
        <v>69</v>
      </c>
      <c r="B319" s="198" t="s">
        <v>295</v>
      </c>
      <c r="C319" s="37" t="s">
        <v>296</v>
      </c>
      <c r="D319" s="103">
        <v>349</v>
      </c>
      <c r="E319" s="122">
        <v>567515</v>
      </c>
      <c r="F319" s="122">
        <v>339292</v>
      </c>
      <c r="G319" s="227" t="s">
        <v>457</v>
      </c>
      <c r="H319" s="122">
        <v>228223</v>
      </c>
      <c r="I319" s="199">
        <v>0</v>
      </c>
      <c r="J319" s="199">
        <v>0</v>
      </c>
      <c r="K319" s="199">
        <v>0</v>
      </c>
      <c r="L319" s="122">
        <v>228223</v>
      </c>
    </row>
    <row r="320" spans="1:12" ht="15" customHeight="1" x14ac:dyDescent="0.2">
      <c r="A320" s="103" t="s">
        <v>69</v>
      </c>
      <c r="B320" s="198" t="s">
        <v>291</v>
      </c>
      <c r="C320" s="37" t="s">
        <v>79</v>
      </c>
      <c r="D320" s="103">
        <v>354</v>
      </c>
      <c r="E320" s="122">
        <v>138826</v>
      </c>
      <c r="F320" s="122">
        <v>96195</v>
      </c>
      <c r="G320" s="227" t="s">
        <v>457</v>
      </c>
      <c r="H320" s="122">
        <v>42631</v>
      </c>
      <c r="I320" s="199">
        <v>0</v>
      </c>
      <c r="J320" s="199">
        <v>0</v>
      </c>
      <c r="K320" s="199">
        <v>0</v>
      </c>
      <c r="L320" s="122">
        <v>42631</v>
      </c>
    </row>
    <row r="321" spans="1:12" ht="30" customHeight="1" x14ac:dyDescent="0.2">
      <c r="A321" s="103" t="s">
        <v>69</v>
      </c>
      <c r="B321" s="198" t="s">
        <v>215</v>
      </c>
      <c r="C321" s="37" t="s">
        <v>216</v>
      </c>
      <c r="D321" s="103">
        <v>286</v>
      </c>
      <c r="E321" s="122">
        <v>3927</v>
      </c>
      <c r="F321" s="122">
        <v>2888</v>
      </c>
      <c r="G321" s="227" t="s">
        <v>457</v>
      </c>
      <c r="H321" s="122">
        <v>1039</v>
      </c>
      <c r="I321" s="199">
        <v>0</v>
      </c>
      <c r="J321" s="199">
        <v>0</v>
      </c>
      <c r="K321" s="199">
        <v>0</v>
      </c>
      <c r="L321" s="122">
        <v>1039</v>
      </c>
    </row>
    <row r="322" spans="1:12" ht="30" customHeight="1" x14ac:dyDescent="0.2">
      <c r="A322" s="103" t="s">
        <v>69</v>
      </c>
      <c r="B322" s="198" t="s">
        <v>221</v>
      </c>
      <c r="C322" s="37" t="s">
        <v>222</v>
      </c>
      <c r="D322" s="103">
        <v>172</v>
      </c>
      <c r="E322" s="122">
        <v>112635</v>
      </c>
      <c r="F322" s="122">
        <v>61328</v>
      </c>
      <c r="G322" s="227" t="s">
        <v>457</v>
      </c>
      <c r="H322" s="122">
        <v>51307</v>
      </c>
      <c r="I322" s="199">
        <v>0</v>
      </c>
      <c r="J322" s="199">
        <v>0</v>
      </c>
      <c r="K322" s="199">
        <v>0</v>
      </c>
      <c r="L322" s="122">
        <v>51307</v>
      </c>
    </row>
    <row r="323" spans="1:12" ht="15" customHeight="1" x14ac:dyDescent="0.2">
      <c r="A323" s="103" t="s">
        <v>69</v>
      </c>
      <c r="B323" s="198" t="s">
        <v>273</v>
      </c>
      <c r="C323" s="37" t="s">
        <v>274</v>
      </c>
      <c r="D323" s="103">
        <v>278</v>
      </c>
      <c r="E323" s="122">
        <v>125147</v>
      </c>
      <c r="F323" s="122">
        <v>88618</v>
      </c>
      <c r="G323" s="227" t="s">
        <v>457</v>
      </c>
      <c r="H323" s="122">
        <v>36529</v>
      </c>
      <c r="I323" s="199">
        <v>0</v>
      </c>
      <c r="J323" s="199">
        <v>0</v>
      </c>
      <c r="K323" s="199">
        <v>0</v>
      </c>
      <c r="L323" s="122">
        <v>36529</v>
      </c>
    </row>
    <row r="324" spans="1:12" ht="15" customHeight="1" x14ac:dyDescent="0.2">
      <c r="A324" s="103" t="s">
        <v>69</v>
      </c>
      <c r="B324" s="198" t="s">
        <v>292</v>
      </c>
      <c r="C324" s="37" t="s">
        <v>293</v>
      </c>
      <c r="D324" s="103">
        <v>337</v>
      </c>
      <c r="E324" s="122">
        <v>25128</v>
      </c>
      <c r="F324" s="122">
        <v>9606</v>
      </c>
      <c r="G324" s="227" t="s">
        <v>457</v>
      </c>
      <c r="H324" s="122">
        <v>15522</v>
      </c>
      <c r="I324" s="199">
        <v>0</v>
      </c>
      <c r="J324" s="199">
        <v>0</v>
      </c>
      <c r="K324" s="199">
        <v>0</v>
      </c>
      <c r="L324" s="122">
        <v>15522</v>
      </c>
    </row>
    <row r="325" spans="1:12" ht="15" customHeight="1" x14ac:dyDescent="0.2">
      <c r="A325" s="103" t="s">
        <v>69</v>
      </c>
      <c r="B325" s="198" t="s">
        <v>279</v>
      </c>
      <c r="C325" s="37" t="s">
        <v>280</v>
      </c>
      <c r="D325" s="103">
        <v>309</v>
      </c>
      <c r="E325" s="122">
        <v>1813</v>
      </c>
      <c r="F325" s="122">
        <v>1000</v>
      </c>
      <c r="G325" s="227" t="s">
        <v>457</v>
      </c>
      <c r="H325" s="122">
        <v>813</v>
      </c>
      <c r="I325" s="199">
        <v>0</v>
      </c>
      <c r="J325" s="199">
        <v>0</v>
      </c>
      <c r="K325" s="199">
        <v>0</v>
      </c>
      <c r="L325" s="122">
        <v>813</v>
      </c>
    </row>
    <row r="326" spans="1:12" ht="30" customHeight="1" x14ac:dyDescent="0.2">
      <c r="A326" s="103" t="s">
        <v>69</v>
      </c>
      <c r="B326" s="198" t="s">
        <v>195</v>
      </c>
      <c r="C326" s="37" t="s">
        <v>196</v>
      </c>
      <c r="D326" s="103">
        <v>11</v>
      </c>
      <c r="E326" s="122">
        <v>3492266</v>
      </c>
      <c r="F326" s="122">
        <v>2246286</v>
      </c>
      <c r="G326" s="227" t="s">
        <v>457</v>
      </c>
      <c r="H326" s="122">
        <v>1245980</v>
      </c>
      <c r="I326" s="199">
        <v>0</v>
      </c>
      <c r="J326" s="199">
        <v>0</v>
      </c>
      <c r="K326" s="199">
        <v>0</v>
      </c>
      <c r="L326" s="122">
        <v>1245980</v>
      </c>
    </row>
    <row r="327" spans="1:12" ht="15" customHeight="1" x14ac:dyDescent="0.2">
      <c r="A327" s="103" t="s">
        <v>69</v>
      </c>
      <c r="B327" s="198" t="s">
        <v>223</v>
      </c>
      <c r="C327" s="37" t="s">
        <v>224</v>
      </c>
      <c r="D327" s="103">
        <v>313</v>
      </c>
      <c r="E327" s="122">
        <v>632114</v>
      </c>
      <c r="F327" s="122">
        <v>302976</v>
      </c>
      <c r="G327" s="227" t="s">
        <v>457</v>
      </c>
      <c r="H327" s="122">
        <v>329138</v>
      </c>
      <c r="I327" s="199">
        <v>0</v>
      </c>
      <c r="J327" s="199">
        <v>0</v>
      </c>
      <c r="K327" s="199">
        <v>0</v>
      </c>
      <c r="L327" s="122">
        <v>329138</v>
      </c>
    </row>
    <row r="328" spans="1:12" ht="30" customHeight="1" x14ac:dyDescent="0.2">
      <c r="A328" s="103" t="s">
        <v>69</v>
      </c>
      <c r="B328" s="198" t="s">
        <v>225</v>
      </c>
      <c r="C328" s="37" t="s">
        <v>226</v>
      </c>
      <c r="D328" s="103">
        <v>330</v>
      </c>
      <c r="E328" s="122">
        <v>791895</v>
      </c>
      <c r="F328" s="122">
        <v>385103</v>
      </c>
      <c r="G328" s="227" t="s">
        <v>457</v>
      </c>
      <c r="H328" s="122">
        <v>406792</v>
      </c>
      <c r="I328" s="199">
        <v>0</v>
      </c>
      <c r="J328" s="199">
        <v>0</v>
      </c>
      <c r="K328" s="199">
        <v>0</v>
      </c>
      <c r="L328" s="122">
        <v>406792</v>
      </c>
    </row>
    <row r="329" spans="1:12" ht="30" customHeight="1" x14ac:dyDescent="0.2">
      <c r="A329" s="103" t="s">
        <v>69</v>
      </c>
      <c r="B329" s="198" t="s">
        <v>227</v>
      </c>
      <c r="C329" s="37" t="s">
        <v>228</v>
      </c>
      <c r="D329" s="103">
        <v>272</v>
      </c>
      <c r="E329" s="122">
        <v>994982</v>
      </c>
      <c r="F329" s="122">
        <v>714840</v>
      </c>
      <c r="G329" s="227" t="s">
        <v>457</v>
      </c>
      <c r="H329" s="122">
        <v>280142</v>
      </c>
      <c r="I329" s="199">
        <v>0</v>
      </c>
      <c r="J329" s="199">
        <v>0</v>
      </c>
      <c r="K329" s="199">
        <v>0</v>
      </c>
      <c r="L329" s="122">
        <v>280142</v>
      </c>
    </row>
    <row r="330" spans="1:12" ht="30" customHeight="1" x14ac:dyDescent="0.2">
      <c r="A330" s="103" t="s">
        <v>69</v>
      </c>
      <c r="B330" s="198" t="s">
        <v>229</v>
      </c>
      <c r="C330" s="37" t="s">
        <v>230</v>
      </c>
      <c r="D330" s="103">
        <v>276</v>
      </c>
      <c r="E330" s="122">
        <v>107115</v>
      </c>
      <c r="F330" s="122">
        <v>46927</v>
      </c>
      <c r="G330" s="227" t="s">
        <v>457</v>
      </c>
      <c r="H330" s="122">
        <v>60188</v>
      </c>
      <c r="I330" s="199">
        <v>0</v>
      </c>
      <c r="J330" s="199">
        <v>0</v>
      </c>
      <c r="K330" s="199">
        <v>0</v>
      </c>
      <c r="L330" s="122">
        <v>60188</v>
      </c>
    </row>
    <row r="331" spans="1:12" ht="60" x14ac:dyDescent="0.2">
      <c r="A331" s="103" t="s">
        <v>69</v>
      </c>
      <c r="B331" s="198" t="s">
        <v>231</v>
      </c>
      <c r="C331" s="37" t="s">
        <v>232</v>
      </c>
      <c r="D331" s="103">
        <v>292</v>
      </c>
      <c r="E331" s="122">
        <v>1233342</v>
      </c>
      <c r="F331" s="122">
        <v>557867</v>
      </c>
      <c r="G331" s="227" t="s">
        <v>457</v>
      </c>
      <c r="H331" s="122">
        <v>675475</v>
      </c>
      <c r="I331" s="199">
        <v>0</v>
      </c>
      <c r="J331" s="199">
        <v>0</v>
      </c>
      <c r="K331" s="199">
        <v>0</v>
      </c>
      <c r="L331" s="122">
        <v>675475</v>
      </c>
    </row>
    <row r="332" spans="1:12" ht="30" customHeight="1" x14ac:dyDescent="0.2">
      <c r="A332" s="103" t="s">
        <v>69</v>
      </c>
      <c r="B332" s="198" t="s">
        <v>233</v>
      </c>
      <c r="C332" s="37" t="s">
        <v>234</v>
      </c>
      <c r="D332" s="103">
        <v>209</v>
      </c>
      <c r="E332" s="122">
        <v>169611</v>
      </c>
      <c r="F332" s="122">
        <v>1000</v>
      </c>
      <c r="G332" s="227" t="s">
        <v>457</v>
      </c>
      <c r="H332" s="122">
        <v>168611</v>
      </c>
      <c r="I332" s="199">
        <v>0</v>
      </c>
      <c r="J332" s="199">
        <v>0</v>
      </c>
      <c r="K332" s="199">
        <v>0</v>
      </c>
      <c r="L332" s="122">
        <v>168611</v>
      </c>
    </row>
    <row r="333" spans="1:12" ht="15" customHeight="1" x14ac:dyDescent="0.2">
      <c r="A333" s="103" t="s">
        <v>69</v>
      </c>
      <c r="B333" s="198" t="s">
        <v>235</v>
      </c>
      <c r="C333" s="37" t="s">
        <v>236</v>
      </c>
      <c r="D333" s="103">
        <v>183</v>
      </c>
      <c r="E333" s="122">
        <v>85755</v>
      </c>
      <c r="F333" s="122">
        <v>48045</v>
      </c>
      <c r="G333" s="227" t="s">
        <v>457</v>
      </c>
      <c r="H333" s="122">
        <v>37710</v>
      </c>
      <c r="I333" s="199">
        <v>0</v>
      </c>
      <c r="J333" s="199">
        <v>0</v>
      </c>
      <c r="K333" s="199">
        <v>0</v>
      </c>
      <c r="L333" s="122">
        <v>37710</v>
      </c>
    </row>
    <row r="334" spans="1:12" ht="15" customHeight="1" x14ac:dyDescent="0.2">
      <c r="A334" s="103" t="s">
        <v>69</v>
      </c>
      <c r="B334" s="198" t="s">
        <v>264</v>
      </c>
      <c r="C334" s="37" t="s">
        <v>265</v>
      </c>
      <c r="D334" s="103">
        <v>251</v>
      </c>
      <c r="E334" s="122">
        <v>81057</v>
      </c>
      <c r="F334" s="122">
        <v>30477</v>
      </c>
      <c r="G334" s="227" t="s">
        <v>457</v>
      </c>
      <c r="H334" s="122">
        <v>50580</v>
      </c>
      <c r="I334" s="199">
        <v>0</v>
      </c>
      <c r="J334" s="199">
        <v>0</v>
      </c>
      <c r="K334" s="199">
        <v>0</v>
      </c>
      <c r="L334" s="122">
        <v>50580</v>
      </c>
    </row>
    <row r="335" spans="1:12" ht="15" customHeight="1" x14ac:dyDescent="0.2">
      <c r="A335" s="103" t="s">
        <v>69</v>
      </c>
      <c r="B335" s="198" t="s">
        <v>281</v>
      </c>
      <c r="C335" s="37" t="s">
        <v>226</v>
      </c>
      <c r="D335" s="103">
        <v>91</v>
      </c>
      <c r="E335" s="122">
        <v>2506</v>
      </c>
      <c r="F335" s="122">
        <v>2074</v>
      </c>
      <c r="G335" s="227" t="s">
        <v>457</v>
      </c>
      <c r="H335" s="122">
        <v>432</v>
      </c>
      <c r="I335" s="199">
        <v>0</v>
      </c>
      <c r="J335" s="199">
        <v>0</v>
      </c>
      <c r="K335" s="199">
        <v>0</v>
      </c>
      <c r="L335" s="122">
        <v>432</v>
      </c>
    </row>
    <row r="336" spans="1:12" ht="15" customHeight="1" x14ac:dyDescent="0.2">
      <c r="A336" s="103" t="s">
        <v>69</v>
      </c>
      <c r="B336" s="198" t="s">
        <v>237</v>
      </c>
      <c r="C336" s="37" t="s">
        <v>208</v>
      </c>
      <c r="D336" s="103">
        <v>192</v>
      </c>
      <c r="E336" s="122">
        <v>81021</v>
      </c>
      <c r="F336" s="122">
        <v>44621</v>
      </c>
      <c r="G336" s="227" t="s">
        <v>457</v>
      </c>
      <c r="H336" s="122">
        <v>36400</v>
      </c>
      <c r="I336" s="199">
        <v>0</v>
      </c>
      <c r="J336" s="199">
        <v>0</v>
      </c>
      <c r="K336" s="199">
        <v>0</v>
      </c>
      <c r="L336" s="122">
        <v>36400</v>
      </c>
    </row>
    <row r="337" spans="1:12" ht="15" customHeight="1" x14ac:dyDescent="0.2">
      <c r="A337" s="103" t="s">
        <v>69</v>
      </c>
      <c r="B337" s="198" t="s">
        <v>238</v>
      </c>
      <c r="C337" s="37" t="s">
        <v>239</v>
      </c>
      <c r="D337" s="103">
        <v>297</v>
      </c>
      <c r="E337" s="122">
        <v>197356402</v>
      </c>
      <c r="F337" s="122">
        <v>117700991</v>
      </c>
      <c r="G337" s="227" t="s">
        <v>457</v>
      </c>
      <c r="H337" s="122">
        <v>79655411</v>
      </c>
      <c r="I337" s="199">
        <v>0</v>
      </c>
      <c r="J337" s="199">
        <v>0</v>
      </c>
      <c r="K337" s="199">
        <v>0</v>
      </c>
      <c r="L337" s="122">
        <v>79655411</v>
      </c>
    </row>
    <row r="338" spans="1:12" ht="15" customHeight="1" x14ac:dyDescent="0.2">
      <c r="A338" s="103" t="s">
        <v>69</v>
      </c>
      <c r="B338" s="198" t="s">
        <v>240</v>
      </c>
      <c r="C338" s="37" t="s">
        <v>241</v>
      </c>
      <c r="D338" s="103">
        <v>166</v>
      </c>
      <c r="E338" s="122">
        <v>1467642</v>
      </c>
      <c r="F338" s="122">
        <v>867256</v>
      </c>
      <c r="G338" s="227" t="s">
        <v>457</v>
      </c>
      <c r="H338" s="122">
        <v>600386</v>
      </c>
      <c r="I338" s="199">
        <v>0</v>
      </c>
      <c r="J338" s="199">
        <v>0</v>
      </c>
      <c r="K338" s="199">
        <v>0</v>
      </c>
      <c r="L338" s="122">
        <v>600386</v>
      </c>
    </row>
    <row r="339" spans="1:12" ht="15" customHeight="1" x14ac:dyDescent="0.2">
      <c r="A339" s="103" t="s">
        <v>69</v>
      </c>
      <c r="B339" s="198" t="s">
        <v>282</v>
      </c>
      <c r="C339" s="37" t="s">
        <v>283</v>
      </c>
      <c r="D339" s="103">
        <v>268</v>
      </c>
      <c r="E339" s="122">
        <v>1367206</v>
      </c>
      <c r="F339" s="122">
        <v>476655</v>
      </c>
      <c r="G339" s="227" t="s">
        <v>457</v>
      </c>
      <c r="H339" s="122">
        <v>890551</v>
      </c>
      <c r="I339" s="199">
        <v>0</v>
      </c>
      <c r="J339" s="199">
        <v>0</v>
      </c>
      <c r="K339" s="199">
        <v>0</v>
      </c>
      <c r="L339" s="122">
        <v>890551</v>
      </c>
    </row>
    <row r="340" spans="1:12" ht="15" customHeight="1" x14ac:dyDescent="0.2">
      <c r="A340" s="103" t="s">
        <v>69</v>
      </c>
      <c r="B340" s="198" t="s">
        <v>242</v>
      </c>
      <c r="C340" s="37" t="s">
        <v>243</v>
      </c>
      <c r="D340" s="103">
        <v>32</v>
      </c>
      <c r="E340" s="122">
        <v>750721</v>
      </c>
      <c r="F340" s="122">
        <v>594151</v>
      </c>
      <c r="G340" s="227" t="s">
        <v>457</v>
      </c>
      <c r="H340" s="122">
        <v>156570</v>
      </c>
      <c r="I340" s="199">
        <v>0</v>
      </c>
      <c r="J340" s="199">
        <v>0</v>
      </c>
      <c r="K340" s="199">
        <v>0</v>
      </c>
      <c r="L340" s="122">
        <v>156570</v>
      </c>
    </row>
    <row r="341" spans="1:12" ht="15" customHeight="1" x14ac:dyDescent="0.2">
      <c r="A341" s="103" t="s">
        <v>69</v>
      </c>
      <c r="B341" s="198" t="s">
        <v>297</v>
      </c>
      <c r="C341" s="37" t="s">
        <v>245</v>
      </c>
      <c r="D341" s="103">
        <v>230</v>
      </c>
      <c r="E341" s="122">
        <v>845230</v>
      </c>
      <c r="F341" s="122">
        <v>696961</v>
      </c>
      <c r="G341" s="227" t="s">
        <v>457</v>
      </c>
      <c r="H341" s="122">
        <v>148269</v>
      </c>
      <c r="I341" s="199">
        <v>0</v>
      </c>
      <c r="J341" s="199">
        <v>0</v>
      </c>
      <c r="K341" s="199">
        <v>0</v>
      </c>
      <c r="L341" s="122">
        <v>148269</v>
      </c>
    </row>
    <row r="342" spans="1:12" ht="15" customHeight="1" x14ac:dyDescent="0.2">
      <c r="A342" s="103" t="s">
        <v>69</v>
      </c>
      <c r="B342" s="198" t="s">
        <v>246</v>
      </c>
      <c r="C342" s="37" t="s">
        <v>247</v>
      </c>
      <c r="D342" s="103">
        <v>357</v>
      </c>
      <c r="E342" s="122">
        <v>1824109</v>
      </c>
      <c r="F342" s="122">
        <v>1568232</v>
      </c>
      <c r="G342" s="227" t="s">
        <v>457</v>
      </c>
      <c r="H342" s="122">
        <v>255877</v>
      </c>
      <c r="I342" s="199">
        <v>0</v>
      </c>
      <c r="J342" s="199">
        <v>0</v>
      </c>
      <c r="K342" s="199">
        <v>0</v>
      </c>
      <c r="L342" s="122">
        <v>255877</v>
      </c>
    </row>
    <row r="343" spans="1:12" ht="15" customHeight="1" x14ac:dyDescent="0.2">
      <c r="A343" s="103" t="s">
        <v>69</v>
      </c>
      <c r="B343" s="198" t="s">
        <v>284</v>
      </c>
      <c r="C343" s="37" t="s">
        <v>285</v>
      </c>
      <c r="D343" s="103">
        <v>148</v>
      </c>
      <c r="E343" s="122">
        <v>14148</v>
      </c>
      <c r="F343" s="122">
        <v>3224</v>
      </c>
      <c r="G343" s="227" t="s">
        <v>457</v>
      </c>
      <c r="H343" s="122">
        <v>10924</v>
      </c>
      <c r="I343" s="199">
        <v>0</v>
      </c>
      <c r="J343" s="199">
        <v>0</v>
      </c>
      <c r="K343" s="199">
        <v>0</v>
      </c>
      <c r="L343" s="122">
        <v>10924</v>
      </c>
    </row>
    <row r="344" spans="1:12" ht="15" customHeight="1" x14ac:dyDescent="0.2">
      <c r="A344" s="103" t="s">
        <v>69</v>
      </c>
      <c r="B344" s="198" t="s">
        <v>248</v>
      </c>
      <c r="C344" s="37" t="s">
        <v>249</v>
      </c>
      <c r="D344" s="103">
        <v>153</v>
      </c>
      <c r="E344" s="122">
        <v>655319</v>
      </c>
      <c r="F344" s="122">
        <v>407291</v>
      </c>
      <c r="G344" s="227" t="s">
        <v>457</v>
      </c>
      <c r="H344" s="122">
        <v>248028</v>
      </c>
      <c r="I344" s="199">
        <v>0</v>
      </c>
      <c r="J344" s="199">
        <v>0</v>
      </c>
      <c r="K344" s="199">
        <v>0</v>
      </c>
      <c r="L344" s="122">
        <v>248028</v>
      </c>
    </row>
    <row r="345" spans="1:12" ht="15" customHeight="1" x14ac:dyDescent="0.2">
      <c r="A345" s="103" t="s">
        <v>69</v>
      </c>
      <c r="B345" s="198" t="s">
        <v>266</v>
      </c>
      <c r="C345" s="37" t="s">
        <v>267</v>
      </c>
      <c r="D345" s="103">
        <v>155</v>
      </c>
      <c r="E345" s="122">
        <v>490395</v>
      </c>
      <c r="F345" s="122">
        <v>7255</v>
      </c>
      <c r="G345" s="227" t="s">
        <v>457</v>
      </c>
      <c r="H345" s="122">
        <v>483140</v>
      </c>
      <c r="I345" s="199">
        <v>0</v>
      </c>
      <c r="J345" s="199">
        <v>0</v>
      </c>
      <c r="K345" s="199">
        <v>0</v>
      </c>
      <c r="L345" s="122">
        <v>483140</v>
      </c>
    </row>
    <row r="346" spans="1:12" ht="15" customHeight="1" x14ac:dyDescent="0.2">
      <c r="A346" s="103" t="s">
        <v>69</v>
      </c>
      <c r="B346" s="198" t="s">
        <v>201</v>
      </c>
      <c r="C346" s="37" t="s">
        <v>83</v>
      </c>
      <c r="D346" s="103">
        <v>319</v>
      </c>
      <c r="E346" s="122">
        <v>3769865</v>
      </c>
      <c r="F346" s="122">
        <v>1953055</v>
      </c>
      <c r="G346" s="227" t="s">
        <v>457</v>
      </c>
      <c r="H346" s="122">
        <v>1816810</v>
      </c>
      <c r="I346" s="199">
        <v>0</v>
      </c>
      <c r="J346" s="199">
        <v>0</v>
      </c>
      <c r="K346" s="199">
        <v>0</v>
      </c>
      <c r="L346" s="122">
        <v>1816810</v>
      </c>
    </row>
    <row r="347" spans="1:12" ht="15" customHeight="1" x14ac:dyDescent="0.2">
      <c r="A347" s="103" t="s">
        <v>69</v>
      </c>
      <c r="B347" s="198" t="s">
        <v>250</v>
      </c>
      <c r="C347" s="37" t="s">
        <v>239</v>
      </c>
      <c r="D347" s="103">
        <v>48</v>
      </c>
      <c r="E347" s="122">
        <v>2724441</v>
      </c>
      <c r="F347" s="122">
        <v>1912990</v>
      </c>
      <c r="G347" s="227" t="s">
        <v>457</v>
      </c>
      <c r="H347" s="122">
        <v>811451</v>
      </c>
      <c r="I347" s="199">
        <v>0</v>
      </c>
      <c r="J347" s="199">
        <v>0</v>
      </c>
      <c r="K347" s="199">
        <v>0</v>
      </c>
      <c r="L347" s="122">
        <v>811451</v>
      </c>
    </row>
    <row r="348" spans="1:12" ht="15" customHeight="1" x14ac:dyDescent="0.2">
      <c r="A348" s="103" t="s">
        <v>69</v>
      </c>
      <c r="B348" s="198" t="s">
        <v>71</v>
      </c>
      <c r="C348" s="37" t="s">
        <v>72</v>
      </c>
      <c r="D348" s="103">
        <v>218</v>
      </c>
      <c r="E348" s="122">
        <v>211524</v>
      </c>
      <c r="F348" s="122">
        <v>98885</v>
      </c>
      <c r="G348" s="227" t="s">
        <v>457</v>
      </c>
      <c r="H348" s="122">
        <v>112639</v>
      </c>
      <c r="I348" s="199">
        <v>0</v>
      </c>
      <c r="J348" s="199">
        <v>0</v>
      </c>
      <c r="K348" s="199">
        <v>0</v>
      </c>
      <c r="L348" s="122">
        <v>112639</v>
      </c>
    </row>
    <row r="349" spans="1:12" ht="15" customHeight="1" x14ac:dyDescent="0.2">
      <c r="A349" s="103" t="s">
        <v>69</v>
      </c>
      <c r="B349" s="198" t="s">
        <v>251</v>
      </c>
      <c r="C349" s="37" t="s">
        <v>252</v>
      </c>
      <c r="D349" s="103">
        <v>350</v>
      </c>
      <c r="E349" s="122">
        <v>181556</v>
      </c>
      <c r="F349" s="122">
        <v>92283</v>
      </c>
      <c r="G349" s="227" t="s">
        <v>457</v>
      </c>
      <c r="H349" s="122">
        <v>89273</v>
      </c>
      <c r="I349" s="122">
        <v>1000</v>
      </c>
      <c r="J349" s="122">
        <v>1000</v>
      </c>
      <c r="K349" s="199">
        <v>0</v>
      </c>
      <c r="L349" s="122">
        <v>89273</v>
      </c>
    </row>
    <row r="350" spans="1:12" ht="15" customHeight="1" x14ac:dyDescent="0.2">
      <c r="A350" s="103" t="s">
        <v>69</v>
      </c>
      <c r="B350" s="198" t="s">
        <v>268</v>
      </c>
      <c r="C350" s="37" t="s">
        <v>269</v>
      </c>
      <c r="D350" s="103">
        <v>173</v>
      </c>
      <c r="E350" s="122">
        <v>269560</v>
      </c>
      <c r="F350" s="122">
        <v>180691</v>
      </c>
      <c r="G350" s="227" t="s">
        <v>457</v>
      </c>
      <c r="H350" s="122">
        <v>88869</v>
      </c>
      <c r="I350" s="199">
        <v>0</v>
      </c>
      <c r="J350" s="199">
        <v>0</v>
      </c>
      <c r="K350" s="199">
        <v>0</v>
      </c>
      <c r="L350" s="122">
        <v>88869</v>
      </c>
    </row>
    <row r="351" spans="1:12" ht="15" customHeight="1" x14ac:dyDescent="0.2">
      <c r="A351" s="103" t="s">
        <v>69</v>
      </c>
      <c r="B351" s="198" t="s">
        <v>298</v>
      </c>
      <c r="C351" s="37" t="s">
        <v>299</v>
      </c>
      <c r="D351" s="103">
        <v>335</v>
      </c>
      <c r="E351" s="122">
        <v>3331</v>
      </c>
      <c r="F351" s="122">
        <v>1000</v>
      </c>
      <c r="G351" s="227" t="s">
        <v>457</v>
      </c>
      <c r="H351" s="122">
        <v>2331</v>
      </c>
      <c r="I351" s="199">
        <v>0</v>
      </c>
      <c r="J351" s="199">
        <v>0</v>
      </c>
      <c r="K351" s="199">
        <v>0</v>
      </c>
      <c r="L351" s="122">
        <v>2331</v>
      </c>
    </row>
    <row r="352" spans="1:12" ht="15" customHeight="1" x14ac:dyDescent="0.2">
      <c r="A352" s="103" t="s">
        <v>69</v>
      </c>
      <c r="B352" s="198" t="s">
        <v>275</v>
      </c>
      <c r="C352" s="37" t="s">
        <v>276</v>
      </c>
      <c r="D352" s="103">
        <v>261</v>
      </c>
      <c r="E352" s="122">
        <v>120472</v>
      </c>
      <c r="F352" s="122">
        <v>88845</v>
      </c>
      <c r="G352" s="227" t="s">
        <v>457</v>
      </c>
      <c r="H352" s="122">
        <v>31627</v>
      </c>
      <c r="I352" s="199">
        <v>0</v>
      </c>
      <c r="J352" s="199">
        <v>0</v>
      </c>
      <c r="K352" s="199">
        <v>0</v>
      </c>
      <c r="L352" s="122">
        <v>31627</v>
      </c>
    </row>
    <row r="353" spans="1:12" ht="15" customHeight="1" x14ac:dyDescent="0.2">
      <c r="A353" s="103" t="s">
        <v>69</v>
      </c>
      <c r="B353" s="198" t="s">
        <v>270</v>
      </c>
      <c r="C353" s="37" t="s">
        <v>256</v>
      </c>
      <c r="D353" s="103">
        <v>244</v>
      </c>
      <c r="E353" s="122">
        <v>298013</v>
      </c>
      <c r="F353" s="122">
        <v>210002</v>
      </c>
      <c r="G353" s="227" t="s">
        <v>457</v>
      </c>
      <c r="H353" s="122">
        <v>88011</v>
      </c>
      <c r="I353" s="199">
        <v>0</v>
      </c>
      <c r="J353" s="199">
        <v>0</v>
      </c>
      <c r="K353" s="199">
        <v>0</v>
      </c>
      <c r="L353" s="122">
        <v>88011</v>
      </c>
    </row>
    <row r="354" spans="1:12" s="229" customFormat="1" ht="15" customHeight="1" x14ac:dyDescent="0.2">
      <c r="A354" s="103" t="s">
        <v>69</v>
      </c>
      <c r="B354" s="198" t="s">
        <v>286</v>
      </c>
      <c r="C354" s="37" t="s">
        <v>239</v>
      </c>
      <c r="D354" s="103">
        <v>280</v>
      </c>
      <c r="E354" s="122">
        <v>11550</v>
      </c>
      <c r="F354" s="122">
        <v>1000</v>
      </c>
      <c r="G354" s="227" t="s">
        <v>457</v>
      </c>
      <c r="H354" s="122">
        <v>10550</v>
      </c>
      <c r="I354" s="199">
        <v>0</v>
      </c>
      <c r="J354" s="199">
        <v>0</v>
      </c>
      <c r="K354" s="199">
        <v>0</v>
      </c>
      <c r="L354" s="122">
        <v>10550</v>
      </c>
    </row>
    <row r="355" spans="1:12" ht="15" customHeight="1" x14ac:dyDescent="0.2">
      <c r="A355" s="103" t="s">
        <v>69</v>
      </c>
      <c r="B355" s="198" t="s">
        <v>253</v>
      </c>
      <c r="C355" s="37" t="s">
        <v>254</v>
      </c>
      <c r="D355" s="103">
        <v>171</v>
      </c>
      <c r="E355" s="122">
        <v>478345</v>
      </c>
      <c r="F355" s="122">
        <v>297786</v>
      </c>
      <c r="G355" s="227" t="s">
        <v>457</v>
      </c>
      <c r="H355" s="122">
        <v>180559</v>
      </c>
      <c r="I355" s="199">
        <v>0</v>
      </c>
      <c r="J355" s="199">
        <v>0</v>
      </c>
      <c r="K355" s="199">
        <v>0</v>
      </c>
      <c r="L355" s="122">
        <v>180559</v>
      </c>
    </row>
    <row r="356" spans="1:12" ht="30" customHeight="1" x14ac:dyDescent="0.2">
      <c r="A356" s="103" t="s">
        <v>69</v>
      </c>
      <c r="B356" s="198" t="s">
        <v>255</v>
      </c>
      <c r="C356" s="37" t="s">
        <v>256</v>
      </c>
      <c r="D356" s="103">
        <v>258</v>
      </c>
      <c r="E356" s="122">
        <v>896710</v>
      </c>
      <c r="F356" s="122">
        <v>389941</v>
      </c>
      <c r="G356" s="227" t="s">
        <v>457</v>
      </c>
      <c r="H356" s="122">
        <v>506769</v>
      </c>
      <c r="I356" s="199">
        <v>0</v>
      </c>
      <c r="J356" s="199">
        <v>0</v>
      </c>
      <c r="K356" s="199">
        <v>0</v>
      </c>
      <c r="L356" s="122">
        <v>506769</v>
      </c>
    </row>
    <row r="357" spans="1:12" ht="15" customHeight="1" x14ac:dyDescent="0.2">
      <c r="A357" s="103" t="s">
        <v>69</v>
      </c>
      <c r="B357" s="198" t="s">
        <v>289</v>
      </c>
      <c r="C357" s="37" t="s">
        <v>290</v>
      </c>
      <c r="D357" s="103">
        <v>308</v>
      </c>
      <c r="E357" s="122">
        <v>2483</v>
      </c>
      <c r="F357" s="122">
        <v>1000</v>
      </c>
      <c r="G357" s="227" t="s">
        <v>457</v>
      </c>
      <c r="H357" s="122">
        <v>1483</v>
      </c>
      <c r="I357" s="199">
        <v>0</v>
      </c>
      <c r="J357" s="199">
        <v>0</v>
      </c>
      <c r="K357" s="199">
        <v>0</v>
      </c>
      <c r="L357" s="122">
        <v>1483</v>
      </c>
    </row>
    <row r="358" spans="1:12" ht="15" customHeight="1" x14ac:dyDescent="0.2">
      <c r="A358" s="103" t="s">
        <v>69</v>
      </c>
      <c r="B358" s="198" t="s">
        <v>257</v>
      </c>
      <c r="C358" s="37" t="s">
        <v>239</v>
      </c>
      <c r="D358" s="103">
        <v>260</v>
      </c>
      <c r="E358" s="122">
        <v>3323409</v>
      </c>
      <c r="F358" s="122">
        <v>2110826</v>
      </c>
      <c r="G358" s="227" t="s">
        <v>457</v>
      </c>
      <c r="H358" s="122">
        <v>1212583</v>
      </c>
      <c r="I358" s="199">
        <v>0</v>
      </c>
      <c r="J358" s="199">
        <v>0</v>
      </c>
      <c r="K358" s="199">
        <v>0</v>
      </c>
      <c r="L358" s="122">
        <v>1212583</v>
      </c>
    </row>
    <row r="359" spans="1:12" ht="15" customHeight="1" x14ac:dyDescent="0.2">
      <c r="A359" s="103" t="s">
        <v>69</v>
      </c>
      <c r="B359" s="198" t="s">
        <v>271</v>
      </c>
      <c r="C359" s="37" t="s">
        <v>272</v>
      </c>
      <c r="D359" s="103">
        <v>346</v>
      </c>
      <c r="E359" s="122">
        <v>80974</v>
      </c>
      <c r="F359" s="122">
        <v>41603</v>
      </c>
      <c r="G359" s="227" t="s">
        <v>457</v>
      </c>
      <c r="H359" s="122">
        <v>39371</v>
      </c>
      <c r="I359" s="199">
        <v>0</v>
      </c>
      <c r="J359" s="199">
        <v>0</v>
      </c>
      <c r="K359" s="199">
        <v>0</v>
      </c>
      <c r="L359" s="122">
        <v>39371</v>
      </c>
    </row>
    <row r="360" spans="1:12" ht="15" customHeight="1" x14ac:dyDescent="0.2">
      <c r="A360" s="103" t="s">
        <v>69</v>
      </c>
      <c r="B360" s="198" t="s">
        <v>260</v>
      </c>
      <c r="C360" s="37" t="s">
        <v>261</v>
      </c>
      <c r="D360" s="103">
        <v>351</v>
      </c>
      <c r="E360" s="122">
        <v>165895</v>
      </c>
      <c r="F360" s="122">
        <v>126335</v>
      </c>
      <c r="G360" s="227" t="s">
        <v>457</v>
      </c>
      <c r="H360" s="122">
        <v>39560</v>
      </c>
      <c r="I360" s="199">
        <v>0</v>
      </c>
      <c r="J360" s="199">
        <v>0</v>
      </c>
      <c r="K360" s="199">
        <v>0</v>
      </c>
      <c r="L360" s="122">
        <v>39560</v>
      </c>
    </row>
    <row r="361" spans="1:12" ht="15" customHeight="1" x14ac:dyDescent="0.2">
      <c r="A361" s="206" t="s">
        <v>381</v>
      </c>
      <c r="B361" s="228" t="s">
        <v>457</v>
      </c>
      <c r="C361" s="228" t="s">
        <v>457</v>
      </c>
      <c r="D361" s="228" t="s">
        <v>457</v>
      </c>
      <c r="E361" s="117">
        <f>SUBTOTAL(109,school201213[Program
Costs])</f>
        <v>226170471</v>
      </c>
      <c r="F361" s="117">
        <f>SUBTOTAL(109,school201213[Less: Net
 Payments and 
Offsets 2])</f>
        <v>134885552</v>
      </c>
      <c r="G361" s="228" t="s">
        <v>457</v>
      </c>
      <c r="H361" s="117">
        <f>SUBTOTAL(109,school201213[Accounts Payable
Balance])</f>
        <v>91284919</v>
      </c>
      <c r="I361" s="117">
        <f>SUBTOTAL(109,school201213[Established
Accounts Receivable])</f>
        <v>1000</v>
      </c>
      <c r="J361" s="117">
        <f>SUBTOTAL(109,school201213[Less: 
Recovered 
Amount])</f>
        <v>1000</v>
      </c>
      <c r="K361" s="204">
        <f>SUBTOTAL(109,school201213[Accounts Receivable
Balance])</f>
        <v>0</v>
      </c>
      <c r="L361" s="117">
        <f>SUBTOTAL(109,school201213[Net
Balance])</f>
        <v>91284919</v>
      </c>
    </row>
    <row r="362" spans="1:12" ht="15.75" customHeight="1" x14ac:dyDescent="0.2">
      <c r="A362" s="169" t="s">
        <v>463</v>
      </c>
      <c r="B362" s="198"/>
      <c r="C362" s="37"/>
      <c r="D362" s="103"/>
      <c r="E362" s="122"/>
      <c r="F362" s="122"/>
      <c r="G362" s="122"/>
      <c r="H362" s="122"/>
      <c r="I362" s="122"/>
      <c r="J362" s="122"/>
      <c r="K362" s="122"/>
      <c r="L362" s="122"/>
    </row>
    <row r="363" spans="1:12" ht="50.1" customHeight="1" x14ac:dyDescent="0.2">
      <c r="A363" s="40" t="s">
        <v>1</v>
      </c>
      <c r="B363" s="40" t="s">
        <v>15</v>
      </c>
      <c r="C363" s="40" t="s">
        <v>16</v>
      </c>
      <c r="D363" s="40" t="s">
        <v>454</v>
      </c>
      <c r="E363" s="230" t="s">
        <v>3</v>
      </c>
      <c r="F363" s="231" t="s">
        <v>592</v>
      </c>
      <c r="G363" s="232" t="s">
        <v>462</v>
      </c>
      <c r="H363" s="230" t="s">
        <v>461</v>
      </c>
      <c r="I363" s="197" t="s">
        <v>460</v>
      </c>
      <c r="J363" s="230" t="s">
        <v>459</v>
      </c>
      <c r="K363" s="230" t="s">
        <v>458</v>
      </c>
      <c r="L363" s="230" t="s">
        <v>17</v>
      </c>
    </row>
    <row r="364" spans="1:12" ht="15" customHeight="1" x14ac:dyDescent="0.2">
      <c r="A364" s="103" t="s">
        <v>70</v>
      </c>
      <c r="B364" s="198" t="s">
        <v>277</v>
      </c>
      <c r="C364" s="37" t="s">
        <v>278</v>
      </c>
      <c r="D364" s="103">
        <v>305</v>
      </c>
      <c r="E364" s="122">
        <v>490925</v>
      </c>
      <c r="F364" s="122">
        <v>343920</v>
      </c>
      <c r="G364" s="227" t="s">
        <v>457</v>
      </c>
      <c r="H364" s="122">
        <v>147005</v>
      </c>
      <c r="I364" s="199">
        <v>0</v>
      </c>
      <c r="J364" s="199">
        <v>0</v>
      </c>
      <c r="K364" s="199">
        <v>0</v>
      </c>
      <c r="L364" s="122">
        <v>147005</v>
      </c>
    </row>
    <row r="365" spans="1:12" ht="15" customHeight="1" x14ac:dyDescent="0.2">
      <c r="A365" s="103" t="s">
        <v>70</v>
      </c>
      <c r="B365" s="198" t="s">
        <v>217</v>
      </c>
      <c r="C365" s="37" t="s">
        <v>218</v>
      </c>
      <c r="D365" s="103">
        <v>250</v>
      </c>
      <c r="E365" s="122">
        <v>1358113</v>
      </c>
      <c r="F365" s="122">
        <v>680526</v>
      </c>
      <c r="G365" s="227" t="s">
        <v>457</v>
      </c>
      <c r="H365" s="122">
        <v>677587</v>
      </c>
      <c r="I365" s="199">
        <v>0</v>
      </c>
      <c r="J365" s="199">
        <v>0</v>
      </c>
      <c r="K365" s="199">
        <v>0</v>
      </c>
      <c r="L365" s="122">
        <v>677587</v>
      </c>
    </row>
    <row r="366" spans="1:12" ht="15" customHeight="1" x14ac:dyDescent="0.2">
      <c r="A366" s="103" t="s">
        <v>70</v>
      </c>
      <c r="B366" s="198" t="s">
        <v>300</v>
      </c>
      <c r="C366" s="37" t="s">
        <v>296</v>
      </c>
      <c r="D366" s="103">
        <v>348</v>
      </c>
      <c r="E366" s="122">
        <v>1482185</v>
      </c>
      <c r="F366" s="122">
        <v>1046875</v>
      </c>
      <c r="G366" s="227" t="s">
        <v>457</v>
      </c>
      <c r="H366" s="122">
        <v>435310</v>
      </c>
      <c r="I366" s="199">
        <v>0</v>
      </c>
      <c r="J366" s="199">
        <v>0</v>
      </c>
      <c r="K366" s="199">
        <v>0</v>
      </c>
      <c r="L366" s="122">
        <v>435310</v>
      </c>
    </row>
    <row r="367" spans="1:12" ht="15" customHeight="1" x14ac:dyDescent="0.2">
      <c r="A367" s="103" t="s">
        <v>70</v>
      </c>
      <c r="B367" s="198" t="s">
        <v>291</v>
      </c>
      <c r="C367" s="37" t="s">
        <v>79</v>
      </c>
      <c r="D367" s="103">
        <v>354</v>
      </c>
      <c r="E367" s="122">
        <v>119930</v>
      </c>
      <c r="F367" s="122">
        <v>91042</v>
      </c>
      <c r="G367" s="227" t="s">
        <v>457</v>
      </c>
      <c r="H367" s="122">
        <v>28888</v>
      </c>
      <c r="I367" s="199">
        <v>0</v>
      </c>
      <c r="J367" s="199">
        <v>0</v>
      </c>
      <c r="K367" s="199">
        <v>0</v>
      </c>
      <c r="L367" s="122">
        <v>28888</v>
      </c>
    </row>
    <row r="368" spans="1:12" ht="30" customHeight="1" x14ac:dyDescent="0.2">
      <c r="A368" s="103" t="s">
        <v>70</v>
      </c>
      <c r="B368" s="198" t="s">
        <v>215</v>
      </c>
      <c r="C368" s="37" t="s">
        <v>216</v>
      </c>
      <c r="D368" s="103">
        <v>286</v>
      </c>
      <c r="E368" s="122">
        <v>45817</v>
      </c>
      <c r="F368" s="122">
        <v>39849</v>
      </c>
      <c r="G368" s="227" t="s">
        <v>457</v>
      </c>
      <c r="H368" s="122">
        <v>5968</v>
      </c>
      <c r="I368" s="199">
        <v>0</v>
      </c>
      <c r="J368" s="199">
        <v>0</v>
      </c>
      <c r="K368" s="199">
        <v>0</v>
      </c>
      <c r="L368" s="122">
        <v>5968</v>
      </c>
    </row>
    <row r="369" spans="1:12" ht="30" customHeight="1" x14ac:dyDescent="0.2">
      <c r="A369" s="103" t="s">
        <v>70</v>
      </c>
      <c r="B369" s="198" t="s">
        <v>221</v>
      </c>
      <c r="C369" s="37" t="s">
        <v>222</v>
      </c>
      <c r="D369" s="103">
        <v>172</v>
      </c>
      <c r="E369" s="122">
        <v>434043</v>
      </c>
      <c r="F369" s="122">
        <v>297644</v>
      </c>
      <c r="G369" s="227" t="s">
        <v>457</v>
      </c>
      <c r="H369" s="122">
        <v>136399</v>
      </c>
      <c r="I369" s="199">
        <v>0</v>
      </c>
      <c r="J369" s="199">
        <v>0</v>
      </c>
      <c r="K369" s="199">
        <v>0</v>
      </c>
      <c r="L369" s="122">
        <v>136399</v>
      </c>
    </row>
    <row r="370" spans="1:12" ht="15" customHeight="1" x14ac:dyDescent="0.2">
      <c r="A370" s="103" t="s">
        <v>70</v>
      </c>
      <c r="B370" s="198" t="s">
        <v>273</v>
      </c>
      <c r="C370" s="37" t="s">
        <v>274</v>
      </c>
      <c r="D370" s="103">
        <v>278</v>
      </c>
      <c r="E370" s="122">
        <v>1612674</v>
      </c>
      <c r="F370" s="122">
        <v>1156102</v>
      </c>
      <c r="G370" s="227" t="s">
        <v>457</v>
      </c>
      <c r="H370" s="122">
        <v>456572</v>
      </c>
      <c r="I370" s="199">
        <v>0</v>
      </c>
      <c r="J370" s="199">
        <v>0</v>
      </c>
      <c r="K370" s="199">
        <v>0</v>
      </c>
      <c r="L370" s="122">
        <v>456572</v>
      </c>
    </row>
    <row r="371" spans="1:12" ht="15" customHeight="1" x14ac:dyDescent="0.2">
      <c r="A371" s="103" t="s">
        <v>70</v>
      </c>
      <c r="B371" s="198" t="s">
        <v>279</v>
      </c>
      <c r="C371" s="37" t="s">
        <v>280</v>
      </c>
      <c r="D371" s="103">
        <v>309</v>
      </c>
      <c r="E371" s="122">
        <v>17554</v>
      </c>
      <c r="F371" s="122">
        <v>13333</v>
      </c>
      <c r="G371" s="227" t="s">
        <v>457</v>
      </c>
      <c r="H371" s="122">
        <v>4221</v>
      </c>
      <c r="I371" s="199">
        <v>0</v>
      </c>
      <c r="J371" s="199">
        <v>0</v>
      </c>
      <c r="K371" s="199">
        <v>0</v>
      </c>
      <c r="L371" s="122">
        <v>4221</v>
      </c>
    </row>
    <row r="372" spans="1:12" ht="30" customHeight="1" x14ac:dyDescent="0.2">
      <c r="A372" s="103" t="s">
        <v>70</v>
      </c>
      <c r="B372" s="198" t="s">
        <v>195</v>
      </c>
      <c r="C372" s="37" t="s">
        <v>196</v>
      </c>
      <c r="D372" s="103">
        <v>11</v>
      </c>
      <c r="E372" s="122">
        <v>16878462</v>
      </c>
      <c r="F372" s="122">
        <v>12873998</v>
      </c>
      <c r="G372" s="227" t="s">
        <v>457</v>
      </c>
      <c r="H372" s="122">
        <v>4004464</v>
      </c>
      <c r="I372" s="199">
        <v>0</v>
      </c>
      <c r="J372" s="199">
        <v>0</v>
      </c>
      <c r="K372" s="199">
        <v>0</v>
      </c>
      <c r="L372" s="122">
        <v>4004464</v>
      </c>
    </row>
    <row r="373" spans="1:12" ht="15" customHeight="1" x14ac:dyDescent="0.2">
      <c r="A373" s="103" t="s">
        <v>70</v>
      </c>
      <c r="B373" s="198" t="s">
        <v>223</v>
      </c>
      <c r="C373" s="37" t="s">
        <v>224</v>
      </c>
      <c r="D373" s="103">
        <v>313</v>
      </c>
      <c r="E373" s="122">
        <v>3332841</v>
      </c>
      <c r="F373" s="122">
        <v>2665902</v>
      </c>
      <c r="G373" s="227" t="s">
        <v>457</v>
      </c>
      <c r="H373" s="122">
        <v>666939</v>
      </c>
      <c r="I373" s="199">
        <v>0</v>
      </c>
      <c r="J373" s="199">
        <v>0</v>
      </c>
      <c r="K373" s="199">
        <v>0</v>
      </c>
      <c r="L373" s="122">
        <v>666939</v>
      </c>
    </row>
    <row r="374" spans="1:12" ht="30" customHeight="1" x14ac:dyDescent="0.2">
      <c r="A374" s="103" t="s">
        <v>70</v>
      </c>
      <c r="B374" s="198" t="s">
        <v>227</v>
      </c>
      <c r="C374" s="37" t="s">
        <v>228</v>
      </c>
      <c r="D374" s="103">
        <v>272</v>
      </c>
      <c r="E374" s="122">
        <v>5744477</v>
      </c>
      <c r="F374" s="122">
        <v>4834791</v>
      </c>
      <c r="G374" s="227" t="s">
        <v>457</v>
      </c>
      <c r="H374" s="122">
        <v>909686</v>
      </c>
      <c r="I374" s="199">
        <v>0</v>
      </c>
      <c r="J374" s="199">
        <v>0</v>
      </c>
      <c r="K374" s="199">
        <v>0</v>
      </c>
      <c r="L374" s="122">
        <v>909686</v>
      </c>
    </row>
    <row r="375" spans="1:12" ht="30" customHeight="1" x14ac:dyDescent="0.2">
      <c r="A375" s="103" t="s">
        <v>70</v>
      </c>
      <c r="B375" s="198" t="s">
        <v>229</v>
      </c>
      <c r="C375" s="37" t="s">
        <v>230</v>
      </c>
      <c r="D375" s="103">
        <v>276</v>
      </c>
      <c r="E375" s="122">
        <v>729070</v>
      </c>
      <c r="F375" s="122">
        <v>500095</v>
      </c>
      <c r="G375" s="227" t="s">
        <v>457</v>
      </c>
      <c r="H375" s="122">
        <v>228975</v>
      </c>
      <c r="I375" s="199">
        <v>0</v>
      </c>
      <c r="J375" s="199">
        <v>0</v>
      </c>
      <c r="K375" s="199">
        <v>0</v>
      </c>
      <c r="L375" s="122">
        <v>228975</v>
      </c>
    </row>
    <row r="376" spans="1:12" ht="60" x14ac:dyDescent="0.2">
      <c r="A376" s="103" t="s">
        <v>70</v>
      </c>
      <c r="B376" s="198" t="s">
        <v>231</v>
      </c>
      <c r="C376" s="37" t="s">
        <v>232</v>
      </c>
      <c r="D376" s="103">
        <v>292</v>
      </c>
      <c r="E376" s="122">
        <v>6496022</v>
      </c>
      <c r="F376" s="122">
        <v>4834944</v>
      </c>
      <c r="G376" s="227" t="s">
        <v>457</v>
      </c>
      <c r="H376" s="122">
        <v>1661078</v>
      </c>
      <c r="I376" s="199">
        <v>0</v>
      </c>
      <c r="J376" s="199">
        <v>0</v>
      </c>
      <c r="K376" s="199">
        <v>0</v>
      </c>
      <c r="L376" s="122">
        <v>1661078</v>
      </c>
    </row>
    <row r="377" spans="1:12" ht="30" customHeight="1" x14ac:dyDescent="0.2">
      <c r="A377" s="103" t="s">
        <v>70</v>
      </c>
      <c r="B377" s="198" t="s">
        <v>233</v>
      </c>
      <c r="C377" s="37" t="s">
        <v>234</v>
      </c>
      <c r="D377" s="103">
        <v>209</v>
      </c>
      <c r="E377" s="122">
        <v>268885</v>
      </c>
      <c r="F377" s="122">
        <v>31975</v>
      </c>
      <c r="G377" s="227" t="s">
        <v>457</v>
      </c>
      <c r="H377" s="122">
        <v>236910</v>
      </c>
      <c r="I377" s="199">
        <v>0</v>
      </c>
      <c r="J377" s="199">
        <v>0</v>
      </c>
      <c r="K377" s="199">
        <v>0</v>
      </c>
      <c r="L377" s="122">
        <v>236910</v>
      </c>
    </row>
    <row r="378" spans="1:12" ht="15" customHeight="1" x14ac:dyDescent="0.2">
      <c r="A378" s="103" t="s">
        <v>70</v>
      </c>
      <c r="B378" s="198" t="s">
        <v>235</v>
      </c>
      <c r="C378" s="37" t="s">
        <v>236</v>
      </c>
      <c r="D378" s="103">
        <v>183</v>
      </c>
      <c r="E378" s="122">
        <v>402570</v>
      </c>
      <c r="F378" s="122">
        <v>289308</v>
      </c>
      <c r="G378" s="227" t="s">
        <v>457</v>
      </c>
      <c r="H378" s="122">
        <v>113262</v>
      </c>
      <c r="I378" s="199">
        <v>0</v>
      </c>
      <c r="J378" s="199">
        <v>0</v>
      </c>
      <c r="K378" s="199">
        <v>0</v>
      </c>
      <c r="L378" s="122">
        <v>113262</v>
      </c>
    </row>
    <row r="379" spans="1:12" ht="15" customHeight="1" x14ac:dyDescent="0.2">
      <c r="A379" s="103" t="s">
        <v>70</v>
      </c>
      <c r="B379" s="198" t="s">
        <v>264</v>
      </c>
      <c r="C379" s="37" t="s">
        <v>265</v>
      </c>
      <c r="D379" s="103">
        <v>251</v>
      </c>
      <c r="E379" s="122">
        <v>499410</v>
      </c>
      <c r="F379" s="122">
        <v>262998</v>
      </c>
      <c r="G379" s="227" t="s">
        <v>457</v>
      </c>
      <c r="H379" s="122">
        <v>236412</v>
      </c>
      <c r="I379" s="199">
        <v>0</v>
      </c>
      <c r="J379" s="199">
        <v>0</v>
      </c>
      <c r="K379" s="199">
        <v>0</v>
      </c>
      <c r="L379" s="122">
        <v>236412</v>
      </c>
    </row>
    <row r="380" spans="1:12" ht="15" customHeight="1" x14ac:dyDescent="0.2">
      <c r="A380" s="103" t="s">
        <v>70</v>
      </c>
      <c r="B380" s="198" t="s">
        <v>281</v>
      </c>
      <c r="C380" s="37" t="s">
        <v>226</v>
      </c>
      <c r="D380" s="103">
        <v>91</v>
      </c>
      <c r="E380" s="122">
        <v>14415</v>
      </c>
      <c r="F380" s="122">
        <v>12228</v>
      </c>
      <c r="G380" s="227" t="s">
        <v>457</v>
      </c>
      <c r="H380" s="122">
        <v>2187</v>
      </c>
      <c r="I380" s="199">
        <v>0</v>
      </c>
      <c r="J380" s="199">
        <v>0</v>
      </c>
      <c r="K380" s="199">
        <v>0</v>
      </c>
      <c r="L380" s="122">
        <v>2187</v>
      </c>
    </row>
    <row r="381" spans="1:12" ht="15" customHeight="1" x14ac:dyDescent="0.2">
      <c r="A381" s="103" t="s">
        <v>70</v>
      </c>
      <c r="B381" s="198" t="s">
        <v>237</v>
      </c>
      <c r="C381" s="37" t="s">
        <v>208</v>
      </c>
      <c r="D381" s="103">
        <v>192</v>
      </c>
      <c r="E381" s="122">
        <v>253379</v>
      </c>
      <c r="F381" s="122">
        <v>167612</v>
      </c>
      <c r="G381" s="227" t="s">
        <v>457</v>
      </c>
      <c r="H381" s="122">
        <v>85767</v>
      </c>
      <c r="I381" s="199">
        <v>0</v>
      </c>
      <c r="J381" s="199">
        <v>0</v>
      </c>
      <c r="K381" s="199">
        <v>0</v>
      </c>
      <c r="L381" s="122">
        <v>85767</v>
      </c>
    </row>
    <row r="382" spans="1:12" ht="15" customHeight="1" x14ac:dyDescent="0.2">
      <c r="A382" s="103" t="s">
        <v>70</v>
      </c>
      <c r="B382" s="198" t="s">
        <v>238</v>
      </c>
      <c r="C382" s="37" t="s">
        <v>239</v>
      </c>
      <c r="D382" s="103">
        <v>297</v>
      </c>
      <c r="E382" s="122">
        <v>232620992</v>
      </c>
      <c r="F382" s="122">
        <v>152709331</v>
      </c>
      <c r="G382" s="227" t="s">
        <v>457</v>
      </c>
      <c r="H382" s="122">
        <v>79911661</v>
      </c>
      <c r="I382" s="199">
        <v>0</v>
      </c>
      <c r="J382" s="199">
        <v>0</v>
      </c>
      <c r="K382" s="199">
        <v>0</v>
      </c>
      <c r="L382" s="122">
        <v>79911661</v>
      </c>
    </row>
    <row r="383" spans="1:12" ht="15" customHeight="1" x14ac:dyDescent="0.2">
      <c r="A383" s="103" t="s">
        <v>70</v>
      </c>
      <c r="B383" s="198" t="s">
        <v>240</v>
      </c>
      <c r="C383" s="37" t="s">
        <v>241</v>
      </c>
      <c r="D383" s="103">
        <v>166</v>
      </c>
      <c r="E383" s="122">
        <v>6624079</v>
      </c>
      <c r="F383" s="122">
        <v>4973496</v>
      </c>
      <c r="G383" s="227" t="s">
        <v>457</v>
      </c>
      <c r="H383" s="122">
        <v>1650583</v>
      </c>
      <c r="I383" s="199">
        <v>0</v>
      </c>
      <c r="J383" s="199">
        <v>0</v>
      </c>
      <c r="K383" s="199">
        <v>0</v>
      </c>
      <c r="L383" s="122">
        <v>1650583</v>
      </c>
    </row>
    <row r="384" spans="1:12" ht="15" customHeight="1" x14ac:dyDescent="0.2">
      <c r="A384" s="103" t="s">
        <v>70</v>
      </c>
      <c r="B384" s="198" t="s">
        <v>282</v>
      </c>
      <c r="C384" s="37" t="s">
        <v>283</v>
      </c>
      <c r="D384" s="103">
        <v>268</v>
      </c>
      <c r="E384" s="122">
        <v>6270779</v>
      </c>
      <c r="F384" s="122">
        <v>3349640</v>
      </c>
      <c r="G384" s="227" t="s">
        <v>457</v>
      </c>
      <c r="H384" s="122">
        <v>2921139</v>
      </c>
      <c r="I384" s="199">
        <v>0</v>
      </c>
      <c r="J384" s="199">
        <v>0</v>
      </c>
      <c r="K384" s="199">
        <v>0</v>
      </c>
      <c r="L384" s="122">
        <v>2921139</v>
      </c>
    </row>
    <row r="385" spans="1:12" ht="15" customHeight="1" x14ac:dyDescent="0.2">
      <c r="A385" s="103" t="s">
        <v>70</v>
      </c>
      <c r="B385" s="198" t="s">
        <v>242</v>
      </c>
      <c r="C385" s="37" t="s">
        <v>243</v>
      </c>
      <c r="D385" s="103">
        <v>32</v>
      </c>
      <c r="E385" s="122">
        <v>4555692</v>
      </c>
      <c r="F385" s="122">
        <v>4089648</v>
      </c>
      <c r="G385" s="227" t="s">
        <v>457</v>
      </c>
      <c r="H385" s="122">
        <v>466044</v>
      </c>
      <c r="I385" s="199">
        <v>0</v>
      </c>
      <c r="J385" s="199">
        <v>0</v>
      </c>
      <c r="K385" s="199">
        <v>0</v>
      </c>
      <c r="L385" s="122">
        <v>466044</v>
      </c>
    </row>
    <row r="386" spans="1:12" ht="15" customHeight="1" x14ac:dyDescent="0.2">
      <c r="A386" s="103" t="s">
        <v>70</v>
      </c>
      <c r="B386" s="198" t="s">
        <v>297</v>
      </c>
      <c r="C386" s="37" t="s">
        <v>245</v>
      </c>
      <c r="D386" s="103">
        <v>230</v>
      </c>
      <c r="E386" s="122">
        <v>5673732</v>
      </c>
      <c r="F386" s="122">
        <v>5265644</v>
      </c>
      <c r="G386" s="227" t="s">
        <v>457</v>
      </c>
      <c r="H386" s="122">
        <v>408088</v>
      </c>
      <c r="I386" s="199">
        <v>0</v>
      </c>
      <c r="J386" s="199">
        <v>0</v>
      </c>
      <c r="K386" s="199">
        <v>0</v>
      </c>
      <c r="L386" s="122">
        <v>408088</v>
      </c>
    </row>
    <row r="387" spans="1:12" ht="15" customHeight="1" x14ac:dyDescent="0.2">
      <c r="A387" s="103" t="s">
        <v>70</v>
      </c>
      <c r="B387" s="198" t="s">
        <v>246</v>
      </c>
      <c r="C387" s="37" t="s">
        <v>247</v>
      </c>
      <c r="D387" s="103">
        <v>357</v>
      </c>
      <c r="E387" s="122">
        <v>7103022</v>
      </c>
      <c r="F387" s="122">
        <v>5397077</v>
      </c>
      <c r="G387" s="227" t="s">
        <v>457</v>
      </c>
      <c r="H387" s="122">
        <v>1705945</v>
      </c>
      <c r="I387" s="199">
        <v>0</v>
      </c>
      <c r="J387" s="199">
        <v>0</v>
      </c>
      <c r="K387" s="199">
        <v>0</v>
      </c>
      <c r="L387" s="122">
        <v>1705945</v>
      </c>
    </row>
    <row r="388" spans="1:12" ht="15" customHeight="1" x14ac:dyDescent="0.2">
      <c r="A388" s="103" t="s">
        <v>70</v>
      </c>
      <c r="B388" s="198" t="s">
        <v>284</v>
      </c>
      <c r="C388" s="37" t="s">
        <v>285</v>
      </c>
      <c r="D388" s="103">
        <v>148</v>
      </c>
      <c r="E388" s="122">
        <v>218554</v>
      </c>
      <c r="F388" s="122">
        <v>3127</v>
      </c>
      <c r="G388" s="227" t="s">
        <v>457</v>
      </c>
      <c r="H388" s="122">
        <v>215427</v>
      </c>
      <c r="I388" s="199">
        <v>0</v>
      </c>
      <c r="J388" s="199">
        <v>0</v>
      </c>
      <c r="K388" s="199">
        <v>0</v>
      </c>
      <c r="L388" s="122">
        <v>215427</v>
      </c>
    </row>
    <row r="389" spans="1:12" ht="15" customHeight="1" x14ac:dyDescent="0.2">
      <c r="A389" s="103" t="s">
        <v>70</v>
      </c>
      <c r="B389" s="198" t="s">
        <v>248</v>
      </c>
      <c r="C389" s="37" t="s">
        <v>249</v>
      </c>
      <c r="D389" s="103">
        <v>153</v>
      </c>
      <c r="E389" s="122">
        <v>3685492</v>
      </c>
      <c r="F389" s="122">
        <v>3016024</v>
      </c>
      <c r="G389" s="227" t="s">
        <v>457</v>
      </c>
      <c r="H389" s="122">
        <v>669468</v>
      </c>
      <c r="I389" s="199">
        <v>0</v>
      </c>
      <c r="J389" s="199">
        <v>0</v>
      </c>
      <c r="K389" s="199">
        <v>0</v>
      </c>
      <c r="L389" s="122">
        <v>669468</v>
      </c>
    </row>
    <row r="390" spans="1:12" ht="15" customHeight="1" x14ac:dyDescent="0.2">
      <c r="A390" s="103" t="s">
        <v>70</v>
      </c>
      <c r="B390" s="198" t="s">
        <v>266</v>
      </c>
      <c r="C390" s="37" t="s">
        <v>267</v>
      </c>
      <c r="D390" s="103">
        <v>155</v>
      </c>
      <c r="E390" s="122">
        <v>845595</v>
      </c>
      <c r="F390" s="122">
        <v>217384</v>
      </c>
      <c r="G390" s="227" t="s">
        <v>457</v>
      </c>
      <c r="H390" s="122">
        <v>628211</v>
      </c>
      <c r="I390" s="199">
        <v>0</v>
      </c>
      <c r="J390" s="199">
        <v>0</v>
      </c>
      <c r="K390" s="199">
        <v>0</v>
      </c>
      <c r="L390" s="122">
        <v>628211</v>
      </c>
    </row>
    <row r="391" spans="1:12" ht="15" customHeight="1" x14ac:dyDescent="0.2">
      <c r="A391" s="103" t="s">
        <v>70</v>
      </c>
      <c r="B391" s="198" t="s">
        <v>201</v>
      </c>
      <c r="C391" s="37" t="s">
        <v>83</v>
      </c>
      <c r="D391" s="103">
        <v>319</v>
      </c>
      <c r="E391" s="122">
        <v>16320878</v>
      </c>
      <c r="F391" s="122">
        <v>12354318</v>
      </c>
      <c r="G391" s="227" t="s">
        <v>457</v>
      </c>
      <c r="H391" s="122">
        <v>3966560</v>
      </c>
      <c r="I391" s="199">
        <v>0</v>
      </c>
      <c r="J391" s="199">
        <v>0</v>
      </c>
      <c r="K391" s="199">
        <v>0</v>
      </c>
      <c r="L391" s="122">
        <v>3966560</v>
      </c>
    </row>
    <row r="392" spans="1:12" ht="15" customHeight="1" x14ac:dyDescent="0.2">
      <c r="A392" s="103" t="s">
        <v>70</v>
      </c>
      <c r="B392" s="198" t="s">
        <v>250</v>
      </c>
      <c r="C392" s="37" t="s">
        <v>239</v>
      </c>
      <c r="D392" s="103">
        <v>48</v>
      </c>
      <c r="E392" s="122">
        <v>25184516</v>
      </c>
      <c r="F392" s="122">
        <v>21266482</v>
      </c>
      <c r="G392" s="227" t="s">
        <v>457</v>
      </c>
      <c r="H392" s="122">
        <v>3918034</v>
      </c>
      <c r="I392" s="199">
        <v>0</v>
      </c>
      <c r="J392" s="199">
        <v>0</v>
      </c>
      <c r="K392" s="199">
        <v>0</v>
      </c>
      <c r="L392" s="122">
        <v>3918034</v>
      </c>
    </row>
    <row r="393" spans="1:12" ht="15" customHeight="1" x14ac:dyDescent="0.2">
      <c r="A393" s="103" t="s">
        <v>70</v>
      </c>
      <c r="B393" s="198" t="s">
        <v>71</v>
      </c>
      <c r="C393" s="37" t="s">
        <v>72</v>
      </c>
      <c r="D393" s="103">
        <v>218</v>
      </c>
      <c r="E393" s="122">
        <v>3246822</v>
      </c>
      <c r="F393" s="122">
        <v>2176378</v>
      </c>
      <c r="G393" s="227" t="s">
        <v>457</v>
      </c>
      <c r="H393" s="122">
        <v>1070444</v>
      </c>
      <c r="I393" s="199">
        <v>0</v>
      </c>
      <c r="J393" s="199">
        <v>0</v>
      </c>
      <c r="K393" s="199">
        <v>0</v>
      </c>
      <c r="L393" s="122">
        <v>1070444</v>
      </c>
    </row>
    <row r="394" spans="1:12" ht="15" customHeight="1" x14ac:dyDescent="0.2">
      <c r="A394" s="103" t="s">
        <v>70</v>
      </c>
      <c r="B394" s="198" t="s">
        <v>251</v>
      </c>
      <c r="C394" s="37" t="s">
        <v>252</v>
      </c>
      <c r="D394" s="103">
        <v>350</v>
      </c>
      <c r="E394" s="122">
        <v>51357</v>
      </c>
      <c r="F394" s="122">
        <v>40229</v>
      </c>
      <c r="G394" s="227" t="s">
        <v>457</v>
      </c>
      <c r="H394" s="122">
        <v>11128</v>
      </c>
      <c r="I394" s="199">
        <v>0</v>
      </c>
      <c r="J394" s="199">
        <v>0</v>
      </c>
      <c r="K394" s="199">
        <v>0</v>
      </c>
      <c r="L394" s="122">
        <v>11128</v>
      </c>
    </row>
    <row r="395" spans="1:12" ht="15" customHeight="1" x14ac:dyDescent="0.2">
      <c r="A395" s="103" t="s">
        <v>70</v>
      </c>
      <c r="B395" s="198" t="s">
        <v>268</v>
      </c>
      <c r="C395" s="37" t="s">
        <v>269</v>
      </c>
      <c r="D395" s="103">
        <v>173</v>
      </c>
      <c r="E395" s="122">
        <v>1475090</v>
      </c>
      <c r="F395" s="122">
        <v>1254514</v>
      </c>
      <c r="G395" s="227" t="s">
        <v>457</v>
      </c>
      <c r="H395" s="122">
        <v>220576</v>
      </c>
      <c r="I395" s="199">
        <v>0</v>
      </c>
      <c r="J395" s="199">
        <v>0</v>
      </c>
      <c r="K395" s="199">
        <v>0</v>
      </c>
      <c r="L395" s="122">
        <v>220576</v>
      </c>
    </row>
    <row r="396" spans="1:12" ht="15" customHeight="1" x14ac:dyDescent="0.2">
      <c r="A396" s="103" t="s">
        <v>70</v>
      </c>
      <c r="B396" s="198" t="s">
        <v>301</v>
      </c>
      <c r="C396" s="37" t="s">
        <v>302</v>
      </c>
      <c r="D396" s="103">
        <v>304</v>
      </c>
      <c r="E396" s="122">
        <v>159665</v>
      </c>
      <c r="F396" s="122">
        <v>26698</v>
      </c>
      <c r="G396" s="227" t="s">
        <v>457</v>
      </c>
      <c r="H396" s="122">
        <v>132967</v>
      </c>
      <c r="I396" s="199">
        <v>0</v>
      </c>
      <c r="J396" s="199">
        <v>0</v>
      </c>
      <c r="K396" s="199">
        <v>0</v>
      </c>
      <c r="L396" s="122">
        <v>132967</v>
      </c>
    </row>
    <row r="397" spans="1:12" ht="15" customHeight="1" x14ac:dyDescent="0.2">
      <c r="A397" s="103" t="s">
        <v>70</v>
      </c>
      <c r="B397" s="198" t="s">
        <v>298</v>
      </c>
      <c r="C397" s="37" t="s">
        <v>299</v>
      </c>
      <c r="D397" s="103">
        <v>335</v>
      </c>
      <c r="E397" s="122">
        <v>30695</v>
      </c>
      <c r="F397" s="122">
        <v>27192</v>
      </c>
      <c r="G397" s="227" t="s">
        <v>457</v>
      </c>
      <c r="H397" s="122">
        <v>3503</v>
      </c>
      <c r="I397" s="199">
        <v>0</v>
      </c>
      <c r="J397" s="199">
        <v>0</v>
      </c>
      <c r="K397" s="199">
        <v>0</v>
      </c>
      <c r="L397" s="122">
        <v>3503</v>
      </c>
    </row>
    <row r="398" spans="1:12" ht="15" customHeight="1" x14ac:dyDescent="0.2">
      <c r="A398" s="103" t="s">
        <v>70</v>
      </c>
      <c r="B398" s="198" t="s">
        <v>303</v>
      </c>
      <c r="C398" s="37" t="s">
        <v>304</v>
      </c>
      <c r="D398" s="103">
        <v>329</v>
      </c>
      <c r="E398" s="122">
        <v>1358026</v>
      </c>
      <c r="F398" s="122">
        <v>1019340</v>
      </c>
      <c r="G398" s="227" t="s">
        <v>457</v>
      </c>
      <c r="H398" s="122">
        <v>338686</v>
      </c>
      <c r="I398" s="199">
        <v>0</v>
      </c>
      <c r="J398" s="199">
        <v>0</v>
      </c>
      <c r="K398" s="199">
        <v>0</v>
      </c>
      <c r="L398" s="122">
        <v>338686</v>
      </c>
    </row>
    <row r="399" spans="1:12" ht="30" customHeight="1" x14ac:dyDescent="0.2">
      <c r="A399" s="103" t="s">
        <v>70</v>
      </c>
      <c r="B399" s="198" t="s">
        <v>275</v>
      </c>
      <c r="C399" s="37" t="s">
        <v>276</v>
      </c>
      <c r="D399" s="103">
        <v>261</v>
      </c>
      <c r="E399" s="122">
        <v>905756</v>
      </c>
      <c r="F399" s="122">
        <v>827559</v>
      </c>
      <c r="G399" s="227" t="s">
        <v>457</v>
      </c>
      <c r="H399" s="122">
        <v>78197</v>
      </c>
      <c r="I399" s="199">
        <v>0</v>
      </c>
      <c r="J399" s="199">
        <v>0</v>
      </c>
      <c r="K399" s="199">
        <v>0</v>
      </c>
      <c r="L399" s="122">
        <v>78197</v>
      </c>
    </row>
    <row r="400" spans="1:12" s="229" customFormat="1" ht="15" customHeight="1" x14ac:dyDescent="0.2">
      <c r="A400" s="103" t="s">
        <v>70</v>
      </c>
      <c r="B400" s="198" t="s">
        <v>270</v>
      </c>
      <c r="C400" s="37" t="s">
        <v>256</v>
      </c>
      <c r="D400" s="103">
        <v>244</v>
      </c>
      <c r="E400" s="122">
        <v>1880327</v>
      </c>
      <c r="F400" s="122">
        <v>1751540</v>
      </c>
      <c r="G400" s="227" t="s">
        <v>457</v>
      </c>
      <c r="H400" s="122">
        <v>128787</v>
      </c>
      <c r="I400" s="199">
        <v>0</v>
      </c>
      <c r="J400" s="199">
        <v>0</v>
      </c>
      <c r="K400" s="199">
        <v>0</v>
      </c>
      <c r="L400" s="122">
        <v>128787</v>
      </c>
    </row>
    <row r="401" spans="1:12" ht="15" customHeight="1" x14ac:dyDescent="0.2">
      <c r="A401" s="103" t="s">
        <v>70</v>
      </c>
      <c r="B401" s="198" t="s">
        <v>286</v>
      </c>
      <c r="C401" s="37" t="s">
        <v>239</v>
      </c>
      <c r="D401" s="103">
        <v>280</v>
      </c>
      <c r="E401" s="122">
        <v>88241</v>
      </c>
      <c r="F401" s="122">
        <v>32642</v>
      </c>
      <c r="G401" s="227" t="s">
        <v>457</v>
      </c>
      <c r="H401" s="122">
        <v>55599</v>
      </c>
      <c r="I401" s="199">
        <v>0</v>
      </c>
      <c r="J401" s="199">
        <v>0</v>
      </c>
      <c r="K401" s="199">
        <v>0</v>
      </c>
      <c r="L401" s="122">
        <v>55599</v>
      </c>
    </row>
    <row r="402" spans="1:12" ht="15" customHeight="1" x14ac:dyDescent="0.2">
      <c r="A402" s="103" t="s">
        <v>70</v>
      </c>
      <c r="B402" s="198" t="s">
        <v>305</v>
      </c>
      <c r="C402" s="37" t="s">
        <v>226</v>
      </c>
      <c r="D402" s="103">
        <v>176</v>
      </c>
      <c r="E402" s="122">
        <v>3640971</v>
      </c>
      <c r="F402" s="122">
        <v>2824667</v>
      </c>
      <c r="G402" s="227" t="s">
        <v>457</v>
      </c>
      <c r="H402" s="122">
        <v>816304</v>
      </c>
      <c r="I402" s="199">
        <v>0</v>
      </c>
      <c r="J402" s="199">
        <v>0</v>
      </c>
      <c r="K402" s="199">
        <v>0</v>
      </c>
      <c r="L402" s="122">
        <v>816304</v>
      </c>
    </row>
    <row r="403" spans="1:12" ht="15" customHeight="1" x14ac:dyDescent="0.2">
      <c r="A403" s="103" t="s">
        <v>70</v>
      </c>
      <c r="B403" s="198" t="s">
        <v>253</v>
      </c>
      <c r="C403" s="37" t="s">
        <v>254</v>
      </c>
      <c r="D403" s="103">
        <v>171</v>
      </c>
      <c r="E403" s="122">
        <v>2298151</v>
      </c>
      <c r="F403" s="122">
        <v>1836916</v>
      </c>
      <c r="G403" s="227" t="s">
        <v>457</v>
      </c>
      <c r="H403" s="122">
        <v>461235</v>
      </c>
      <c r="I403" s="199">
        <v>0</v>
      </c>
      <c r="J403" s="199">
        <v>0</v>
      </c>
      <c r="K403" s="199">
        <v>0</v>
      </c>
      <c r="L403" s="122">
        <v>461235</v>
      </c>
    </row>
    <row r="404" spans="1:12" ht="30" customHeight="1" x14ac:dyDescent="0.2">
      <c r="A404" s="103" t="s">
        <v>70</v>
      </c>
      <c r="B404" s="198" t="s">
        <v>255</v>
      </c>
      <c r="C404" s="37" t="s">
        <v>256</v>
      </c>
      <c r="D404" s="103">
        <v>258</v>
      </c>
      <c r="E404" s="122">
        <v>2670692</v>
      </c>
      <c r="F404" s="122">
        <v>1665935</v>
      </c>
      <c r="G404" s="227" t="s">
        <v>457</v>
      </c>
      <c r="H404" s="122">
        <v>1004757</v>
      </c>
      <c r="I404" s="199">
        <v>0</v>
      </c>
      <c r="J404" s="199">
        <v>0</v>
      </c>
      <c r="K404" s="199">
        <v>0</v>
      </c>
      <c r="L404" s="122">
        <v>1004757</v>
      </c>
    </row>
    <row r="405" spans="1:12" ht="15" customHeight="1" x14ac:dyDescent="0.2">
      <c r="A405" s="103" t="s">
        <v>70</v>
      </c>
      <c r="B405" s="198" t="s">
        <v>257</v>
      </c>
      <c r="C405" s="37" t="s">
        <v>239</v>
      </c>
      <c r="D405" s="103">
        <v>260</v>
      </c>
      <c r="E405" s="122">
        <v>16531704</v>
      </c>
      <c r="F405" s="122">
        <v>13454196</v>
      </c>
      <c r="G405" s="227" t="s">
        <v>457</v>
      </c>
      <c r="H405" s="122">
        <v>3077508</v>
      </c>
      <c r="I405" s="199">
        <v>0</v>
      </c>
      <c r="J405" s="199">
        <v>0</v>
      </c>
      <c r="K405" s="199">
        <v>0</v>
      </c>
      <c r="L405" s="122">
        <v>3077508</v>
      </c>
    </row>
    <row r="406" spans="1:12" ht="15" customHeight="1" x14ac:dyDescent="0.2">
      <c r="A406" s="103" t="s">
        <v>70</v>
      </c>
      <c r="B406" s="198" t="s">
        <v>271</v>
      </c>
      <c r="C406" s="37" t="s">
        <v>272</v>
      </c>
      <c r="D406" s="103">
        <v>346</v>
      </c>
      <c r="E406" s="122">
        <v>28428</v>
      </c>
      <c r="F406" s="122">
        <v>12805</v>
      </c>
      <c r="G406" s="227" t="s">
        <v>457</v>
      </c>
      <c r="H406" s="122">
        <v>15623</v>
      </c>
      <c r="I406" s="199">
        <v>0</v>
      </c>
      <c r="J406" s="199">
        <v>0</v>
      </c>
      <c r="K406" s="199">
        <v>0</v>
      </c>
      <c r="L406" s="122">
        <v>15623</v>
      </c>
    </row>
    <row r="407" spans="1:12" ht="15" customHeight="1" x14ac:dyDescent="0.2">
      <c r="A407" s="103" t="s">
        <v>70</v>
      </c>
      <c r="B407" s="198" t="s">
        <v>260</v>
      </c>
      <c r="C407" s="37" t="s">
        <v>261</v>
      </c>
      <c r="D407" s="103">
        <v>351</v>
      </c>
      <c r="E407" s="122">
        <v>118402</v>
      </c>
      <c r="F407" s="122">
        <v>102022</v>
      </c>
      <c r="G407" s="227" t="s">
        <v>457</v>
      </c>
      <c r="H407" s="122">
        <v>16380</v>
      </c>
      <c r="I407" s="199">
        <v>0</v>
      </c>
      <c r="J407" s="199">
        <v>0</v>
      </c>
      <c r="K407" s="199">
        <v>0</v>
      </c>
      <c r="L407" s="122">
        <v>16380</v>
      </c>
    </row>
    <row r="408" spans="1:12" ht="15" customHeight="1" x14ac:dyDescent="0.2">
      <c r="A408" s="206" t="s">
        <v>382</v>
      </c>
      <c r="B408" s="228" t="s">
        <v>457</v>
      </c>
      <c r="C408" s="228" t="s">
        <v>457</v>
      </c>
      <c r="D408" s="228" t="s">
        <v>457</v>
      </c>
      <c r="E408" s="117">
        <f>SUBTOTAL(109,school201112[Program
Costs])</f>
        <v>383768430</v>
      </c>
      <c r="F408" s="117">
        <f>SUBTOTAL(109,school201112[Less: Net
 Payments and 
Offsets 2])</f>
        <v>269837946</v>
      </c>
      <c r="G408" s="228" t="s">
        <v>457</v>
      </c>
      <c r="H408" s="117">
        <f>SUBTOTAL(109,school201112[Accounts Payable
Balance])</f>
        <v>113930484</v>
      </c>
      <c r="I408" s="204">
        <f>SUBTOTAL(109,school201112[Established
Accounts Receivable])</f>
        <v>0</v>
      </c>
      <c r="J408" s="204">
        <f>SUBTOTAL(109,school201112[Less: 
Recovered 
Amount])</f>
        <v>0</v>
      </c>
      <c r="K408" s="204">
        <f>SUBTOTAL(109,school201112[Accounts Receivable
Balance])</f>
        <v>0</v>
      </c>
      <c r="L408" s="117">
        <f>SUBTOTAL(109,school201112[Net
Balance])</f>
        <v>113930484</v>
      </c>
    </row>
    <row r="409" spans="1:12" ht="15.75" customHeight="1" x14ac:dyDescent="0.2">
      <c r="A409" s="169" t="s">
        <v>463</v>
      </c>
      <c r="B409" s="198"/>
      <c r="C409" s="37"/>
      <c r="D409" s="103"/>
      <c r="E409" s="122"/>
      <c r="F409" s="122"/>
      <c r="G409" s="122"/>
      <c r="H409" s="122"/>
      <c r="I409" s="122"/>
      <c r="J409" s="122"/>
      <c r="K409" s="122"/>
      <c r="L409" s="122"/>
    </row>
    <row r="410" spans="1:12" ht="50.1" customHeight="1" x14ac:dyDescent="0.2">
      <c r="A410" s="40" t="s">
        <v>1</v>
      </c>
      <c r="B410" s="40" t="s">
        <v>15</v>
      </c>
      <c r="C410" s="40" t="s">
        <v>16</v>
      </c>
      <c r="D410" s="40" t="s">
        <v>454</v>
      </c>
      <c r="E410" s="230" t="s">
        <v>3</v>
      </c>
      <c r="F410" s="231" t="s">
        <v>592</v>
      </c>
      <c r="G410" s="232" t="s">
        <v>462</v>
      </c>
      <c r="H410" s="230" t="s">
        <v>461</v>
      </c>
      <c r="I410" s="197" t="s">
        <v>460</v>
      </c>
      <c r="J410" s="230" t="s">
        <v>459</v>
      </c>
      <c r="K410" s="230" t="s">
        <v>458</v>
      </c>
      <c r="L410" s="230" t="s">
        <v>17</v>
      </c>
    </row>
    <row r="411" spans="1:12" ht="15" customHeight="1" x14ac:dyDescent="0.2">
      <c r="A411" s="103" t="s">
        <v>73</v>
      </c>
      <c r="B411" s="198" t="s">
        <v>277</v>
      </c>
      <c r="C411" s="37" t="s">
        <v>278</v>
      </c>
      <c r="D411" s="103">
        <v>305</v>
      </c>
      <c r="E411" s="122">
        <v>404335</v>
      </c>
      <c r="F411" s="122">
        <v>284067</v>
      </c>
      <c r="G411" s="227" t="s">
        <v>457</v>
      </c>
      <c r="H411" s="122">
        <v>120268</v>
      </c>
      <c r="I411" s="199">
        <v>0</v>
      </c>
      <c r="J411" s="199">
        <v>0</v>
      </c>
      <c r="K411" s="199">
        <v>0</v>
      </c>
      <c r="L411" s="122">
        <v>120268</v>
      </c>
    </row>
    <row r="412" spans="1:12" ht="15" customHeight="1" x14ac:dyDescent="0.2">
      <c r="A412" s="103" t="s">
        <v>73</v>
      </c>
      <c r="B412" s="198" t="s">
        <v>213</v>
      </c>
      <c r="C412" s="37" t="s">
        <v>214</v>
      </c>
      <c r="D412" s="103">
        <v>269</v>
      </c>
      <c r="E412" s="122">
        <v>8679</v>
      </c>
      <c r="F412" s="122">
        <v>6144</v>
      </c>
      <c r="G412" s="227" t="s">
        <v>457</v>
      </c>
      <c r="H412" s="122">
        <v>2535</v>
      </c>
      <c r="I412" s="199">
        <v>0</v>
      </c>
      <c r="J412" s="199">
        <v>0</v>
      </c>
      <c r="K412" s="199">
        <v>0</v>
      </c>
      <c r="L412" s="122">
        <v>2535</v>
      </c>
    </row>
    <row r="413" spans="1:12" ht="15" customHeight="1" x14ac:dyDescent="0.2">
      <c r="A413" s="103" t="s">
        <v>73</v>
      </c>
      <c r="B413" s="198" t="s">
        <v>217</v>
      </c>
      <c r="C413" s="37" t="s">
        <v>218</v>
      </c>
      <c r="D413" s="103">
        <v>250</v>
      </c>
      <c r="E413" s="122">
        <v>1284869</v>
      </c>
      <c r="F413" s="122">
        <v>670698</v>
      </c>
      <c r="G413" s="227" t="s">
        <v>457</v>
      </c>
      <c r="H413" s="122">
        <v>614171</v>
      </c>
      <c r="I413" s="199">
        <v>0</v>
      </c>
      <c r="J413" s="199">
        <v>0</v>
      </c>
      <c r="K413" s="199">
        <v>0</v>
      </c>
      <c r="L413" s="122">
        <v>614171</v>
      </c>
    </row>
    <row r="414" spans="1:12" ht="15" customHeight="1" x14ac:dyDescent="0.2">
      <c r="A414" s="103" t="s">
        <v>73</v>
      </c>
      <c r="B414" s="198" t="s">
        <v>300</v>
      </c>
      <c r="C414" s="37" t="s">
        <v>296</v>
      </c>
      <c r="D414" s="103">
        <v>348</v>
      </c>
      <c r="E414" s="122">
        <v>1223752</v>
      </c>
      <c r="F414" s="122">
        <v>860241</v>
      </c>
      <c r="G414" s="227" t="s">
        <v>457</v>
      </c>
      <c r="H414" s="122">
        <v>363511</v>
      </c>
      <c r="I414" s="199">
        <v>0</v>
      </c>
      <c r="J414" s="199">
        <v>0</v>
      </c>
      <c r="K414" s="199">
        <v>0</v>
      </c>
      <c r="L414" s="122">
        <v>363511</v>
      </c>
    </row>
    <row r="415" spans="1:12" ht="15" customHeight="1" x14ac:dyDescent="0.2">
      <c r="A415" s="103" t="s">
        <v>73</v>
      </c>
      <c r="B415" s="198" t="s">
        <v>291</v>
      </c>
      <c r="C415" s="37" t="s">
        <v>79</v>
      </c>
      <c r="D415" s="103">
        <v>354</v>
      </c>
      <c r="E415" s="122">
        <v>86685</v>
      </c>
      <c r="F415" s="122">
        <v>72103</v>
      </c>
      <c r="G415" s="227" t="s">
        <v>457</v>
      </c>
      <c r="H415" s="122">
        <v>14582</v>
      </c>
      <c r="I415" s="199">
        <v>0</v>
      </c>
      <c r="J415" s="199">
        <v>0</v>
      </c>
      <c r="K415" s="199">
        <v>0</v>
      </c>
      <c r="L415" s="122">
        <v>14582</v>
      </c>
    </row>
    <row r="416" spans="1:12" ht="30" customHeight="1" x14ac:dyDescent="0.2">
      <c r="A416" s="103" t="s">
        <v>73</v>
      </c>
      <c r="B416" s="198" t="s">
        <v>215</v>
      </c>
      <c r="C416" s="37" t="s">
        <v>216</v>
      </c>
      <c r="D416" s="103">
        <v>286</v>
      </c>
      <c r="E416" s="122">
        <v>48564</v>
      </c>
      <c r="F416" s="122">
        <v>38573</v>
      </c>
      <c r="G416" s="227" t="s">
        <v>457</v>
      </c>
      <c r="H416" s="122">
        <v>9991</v>
      </c>
      <c r="I416" s="199">
        <v>0</v>
      </c>
      <c r="J416" s="199">
        <v>0</v>
      </c>
      <c r="K416" s="199">
        <v>0</v>
      </c>
      <c r="L416" s="122">
        <v>9991</v>
      </c>
    </row>
    <row r="417" spans="1:12" ht="30" customHeight="1" x14ac:dyDescent="0.2">
      <c r="A417" s="103" t="s">
        <v>73</v>
      </c>
      <c r="B417" s="198" t="s">
        <v>221</v>
      </c>
      <c r="C417" s="37" t="s">
        <v>222</v>
      </c>
      <c r="D417" s="103">
        <v>172</v>
      </c>
      <c r="E417" s="122">
        <v>509912</v>
      </c>
      <c r="F417" s="122">
        <v>359546</v>
      </c>
      <c r="G417" s="227" t="s">
        <v>457</v>
      </c>
      <c r="H417" s="122">
        <v>150366</v>
      </c>
      <c r="I417" s="199">
        <v>0</v>
      </c>
      <c r="J417" s="199">
        <v>0</v>
      </c>
      <c r="K417" s="199">
        <v>0</v>
      </c>
      <c r="L417" s="122">
        <v>150366</v>
      </c>
    </row>
    <row r="418" spans="1:12" ht="15" customHeight="1" x14ac:dyDescent="0.2">
      <c r="A418" s="103" t="s">
        <v>73</v>
      </c>
      <c r="B418" s="198" t="s">
        <v>273</v>
      </c>
      <c r="C418" s="37" t="s">
        <v>274</v>
      </c>
      <c r="D418" s="103">
        <v>278</v>
      </c>
      <c r="E418" s="122">
        <v>1935990</v>
      </c>
      <c r="F418" s="122">
        <v>1331459</v>
      </c>
      <c r="G418" s="227" t="s">
        <v>457</v>
      </c>
      <c r="H418" s="122">
        <v>604531</v>
      </c>
      <c r="I418" s="199">
        <v>0</v>
      </c>
      <c r="J418" s="199">
        <v>0</v>
      </c>
      <c r="K418" s="199">
        <v>0</v>
      </c>
      <c r="L418" s="122">
        <v>604531</v>
      </c>
    </row>
    <row r="419" spans="1:12" ht="15" customHeight="1" x14ac:dyDescent="0.2">
      <c r="A419" s="103" t="s">
        <v>73</v>
      </c>
      <c r="B419" s="198" t="s">
        <v>279</v>
      </c>
      <c r="C419" s="37" t="s">
        <v>280</v>
      </c>
      <c r="D419" s="103">
        <v>309</v>
      </c>
      <c r="E419" s="122">
        <v>13640</v>
      </c>
      <c r="F419" s="122">
        <v>7429</v>
      </c>
      <c r="G419" s="227" t="s">
        <v>457</v>
      </c>
      <c r="H419" s="122">
        <v>6211</v>
      </c>
      <c r="I419" s="199">
        <v>0</v>
      </c>
      <c r="J419" s="199">
        <v>0</v>
      </c>
      <c r="K419" s="199">
        <v>0</v>
      </c>
      <c r="L419" s="122">
        <v>6211</v>
      </c>
    </row>
    <row r="420" spans="1:12" ht="30" customHeight="1" x14ac:dyDescent="0.2">
      <c r="A420" s="103" t="s">
        <v>73</v>
      </c>
      <c r="B420" s="198" t="s">
        <v>195</v>
      </c>
      <c r="C420" s="37" t="s">
        <v>196</v>
      </c>
      <c r="D420" s="103">
        <v>11</v>
      </c>
      <c r="E420" s="122">
        <v>17982853</v>
      </c>
      <c r="F420" s="122">
        <v>14351227</v>
      </c>
      <c r="G420" s="227" t="s">
        <v>457</v>
      </c>
      <c r="H420" s="122">
        <v>3631626</v>
      </c>
      <c r="I420" s="199">
        <v>0</v>
      </c>
      <c r="J420" s="199">
        <v>0</v>
      </c>
      <c r="K420" s="199">
        <v>0</v>
      </c>
      <c r="L420" s="122">
        <v>3631626</v>
      </c>
    </row>
    <row r="421" spans="1:12" ht="15" customHeight="1" x14ac:dyDescent="0.2">
      <c r="A421" s="103" t="s">
        <v>73</v>
      </c>
      <c r="B421" s="198" t="s">
        <v>223</v>
      </c>
      <c r="C421" s="37" t="s">
        <v>224</v>
      </c>
      <c r="D421" s="103">
        <v>313</v>
      </c>
      <c r="E421" s="122">
        <v>3241236</v>
      </c>
      <c r="F421" s="122">
        <v>2671236</v>
      </c>
      <c r="G421" s="227" t="s">
        <v>457</v>
      </c>
      <c r="H421" s="122">
        <v>570000</v>
      </c>
      <c r="I421" s="199">
        <v>0</v>
      </c>
      <c r="J421" s="199">
        <v>0</v>
      </c>
      <c r="K421" s="199">
        <v>0</v>
      </c>
      <c r="L421" s="122">
        <v>570000</v>
      </c>
    </row>
    <row r="422" spans="1:12" ht="30" customHeight="1" x14ac:dyDescent="0.2">
      <c r="A422" s="103" t="s">
        <v>73</v>
      </c>
      <c r="B422" s="198" t="s">
        <v>227</v>
      </c>
      <c r="C422" s="37" t="s">
        <v>228</v>
      </c>
      <c r="D422" s="103">
        <v>272</v>
      </c>
      <c r="E422" s="122">
        <v>9390921</v>
      </c>
      <c r="F422" s="122">
        <v>7958284</v>
      </c>
      <c r="G422" s="227" t="s">
        <v>457</v>
      </c>
      <c r="H422" s="122">
        <v>1432637</v>
      </c>
      <c r="I422" s="199">
        <v>0</v>
      </c>
      <c r="J422" s="199">
        <v>0</v>
      </c>
      <c r="K422" s="199">
        <v>0</v>
      </c>
      <c r="L422" s="122">
        <v>1432637</v>
      </c>
    </row>
    <row r="423" spans="1:12" ht="30" customHeight="1" x14ac:dyDescent="0.2">
      <c r="A423" s="103" t="s">
        <v>73</v>
      </c>
      <c r="B423" s="198" t="s">
        <v>229</v>
      </c>
      <c r="C423" s="37" t="s">
        <v>230</v>
      </c>
      <c r="D423" s="103">
        <v>276</v>
      </c>
      <c r="E423" s="122">
        <v>938353</v>
      </c>
      <c r="F423" s="122">
        <v>629984</v>
      </c>
      <c r="G423" s="227" t="s">
        <v>457</v>
      </c>
      <c r="H423" s="122">
        <v>308369</v>
      </c>
      <c r="I423" s="199">
        <v>0</v>
      </c>
      <c r="J423" s="199">
        <v>0</v>
      </c>
      <c r="K423" s="199">
        <v>0</v>
      </c>
      <c r="L423" s="122">
        <v>308369</v>
      </c>
    </row>
    <row r="424" spans="1:12" ht="60" x14ac:dyDescent="0.2">
      <c r="A424" s="103" t="s">
        <v>73</v>
      </c>
      <c r="B424" s="198" t="s">
        <v>231</v>
      </c>
      <c r="C424" s="37" t="s">
        <v>232</v>
      </c>
      <c r="D424" s="103">
        <v>292</v>
      </c>
      <c r="E424" s="122">
        <v>7856369</v>
      </c>
      <c r="F424" s="122">
        <v>6178623</v>
      </c>
      <c r="G424" s="227" t="s">
        <v>457</v>
      </c>
      <c r="H424" s="122">
        <v>1677746</v>
      </c>
      <c r="I424" s="199">
        <v>0</v>
      </c>
      <c r="J424" s="199">
        <v>0</v>
      </c>
      <c r="K424" s="199">
        <v>0</v>
      </c>
      <c r="L424" s="122">
        <v>1677746</v>
      </c>
    </row>
    <row r="425" spans="1:12" ht="30" customHeight="1" x14ac:dyDescent="0.2">
      <c r="A425" s="103" t="s">
        <v>73</v>
      </c>
      <c r="B425" s="198" t="s">
        <v>233</v>
      </c>
      <c r="C425" s="37" t="s">
        <v>234</v>
      </c>
      <c r="D425" s="103">
        <v>209</v>
      </c>
      <c r="E425" s="122">
        <v>297042</v>
      </c>
      <c r="F425" s="122">
        <v>29832</v>
      </c>
      <c r="G425" s="227" t="s">
        <v>457</v>
      </c>
      <c r="H425" s="122">
        <v>267210</v>
      </c>
      <c r="I425" s="199">
        <v>0</v>
      </c>
      <c r="J425" s="199">
        <v>0</v>
      </c>
      <c r="K425" s="199">
        <v>0</v>
      </c>
      <c r="L425" s="122">
        <v>267210</v>
      </c>
    </row>
    <row r="426" spans="1:12" ht="15" customHeight="1" x14ac:dyDescent="0.2">
      <c r="A426" s="103" t="s">
        <v>73</v>
      </c>
      <c r="B426" s="198" t="s">
        <v>235</v>
      </c>
      <c r="C426" s="37" t="s">
        <v>236</v>
      </c>
      <c r="D426" s="103">
        <v>183</v>
      </c>
      <c r="E426" s="122">
        <v>472674</v>
      </c>
      <c r="F426" s="122">
        <v>391438</v>
      </c>
      <c r="G426" s="227" t="s">
        <v>457</v>
      </c>
      <c r="H426" s="122">
        <v>81236</v>
      </c>
      <c r="I426" s="199">
        <v>0</v>
      </c>
      <c r="J426" s="199">
        <v>0</v>
      </c>
      <c r="K426" s="199">
        <v>0</v>
      </c>
      <c r="L426" s="122">
        <v>81236</v>
      </c>
    </row>
    <row r="427" spans="1:12" ht="15" customHeight="1" x14ac:dyDescent="0.2">
      <c r="A427" s="103" t="s">
        <v>73</v>
      </c>
      <c r="B427" s="198" t="s">
        <v>264</v>
      </c>
      <c r="C427" s="37" t="s">
        <v>265</v>
      </c>
      <c r="D427" s="103">
        <v>251</v>
      </c>
      <c r="E427" s="122">
        <v>438643</v>
      </c>
      <c r="F427" s="122">
        <v>278771</v>
      </c>
      <c r="G427" s="227" t="s">
        <v>457</v>
      </c>
      <c r="H427" s="122">
        <v>159872</v>
      </c>
      <c r="I427" s="199">
        <v>0</v>
      </c>
      <c r="J427" s="199">
        <v>0</v>
      </c>
      <c r="K427" s="199">
        <v>0</v>
      </c>
      <c r="L427" s="122">
        <v>159872</v>
      </c>
    </row>
    <row r="428" spans="1:12" ht="15" customHeight="1" x14ac:dyDescent="0.2">
      <c r="A428" s="103" t="s">
        <v>73</v>
      </c>
      <c r="B428" s="198" t="s">
        <v>306</v>
      </c>
      <c r="C428" s="37" t="s">
        <v>307</v>
      </c>
      <c r="D428" s="103">
        <v>333</v>
      </c>
      <c r="E428" s="122">
        <v>51096</v>
      </c>
      <c r="F428" s="122">
        <v>24635</v>
      </c>
      <c r="G428" s="227" t="s">
        <v>457</v>
      </c>
      <c r="H428" s="122">
        <v>26461</v>
      </c>
      <c r="I428" s="199">
        <v>0</v>
      </c>
      <c r="J428" s="199">
        <v>0</v>
      </c>
      <c r="K428" s="199">
        <v>0</v>
      </c>
      <c r="L428" s="122">
        <v>26461</v>
      </c>
    </row>
    <row r="429" spans="1:12" ht="15" customHeight="1" x14ac:dyDescent="0.2">
      <c r="A429" s="103" t="s">
        <v>73</v>
      </c>
      <c r="B429" s="198" t="s">
        <v>281</v>
      </c>
      <c r="C429" s="37" t="s">
        <v>226</v>
      </c>
      <c r="D429" s="103">
        <v>91</v>
      </c>
      <c r="E429" s="122">
        <v>15135</v>
      </c>
      <c r="F429" s="122">
        <v>10746</v>
      </c>
      <c r="G429" s="227" t="s">
        <v>457</v>
      </c>
      <c r="H429" s="122">
        <v>4389</v>
      </c>
      <c r="I429" s="199">
        <v>0</v>
      </c>
      <c r="J429" s="199">
        <v>0</v>
      </c>
      <c r="K429" s="199">
        <v>0</v>
      </c>
      <c r="L429" s="122">
        <v>4389</v>
      </c>
    </row>
    <row r="430" spans="1:12" ht="15" customHeight="1" x14ac:dyDescent="0.2">
      <c r="A430" s="103" t="s">
        <v>73</v>
      </c>
      <c r="B430" s="198" t="s">
        <v>237</v>
      </c>
      <c r="C430" s="37" t="s">
        <v>208</v>
      </c>
      <c r="D430" s="103">
        <v>192</v>
      </c>
      <c r="E430" s="122">
        <v>281654</v>
      </c>
      <c r="F430" s="122">
        <v>169043</v>
      </c>
      <c r="G430" s="227" t="s">
        <v>457</v>
      </c>
      <c r="H430" s="122">
        <v>112611</v>
      </c>
      <c r="I430" s="199">
        <v>0</v>
      </c>
      <c r="J430" s="199">
        <v>0</v>
      </c>
      <c r="K430" s="199">
        <v>0</v>
      </c>
      <c r="L430" s="122">
        <v>112611</v>
      </c>
    </row>
    <row r="431" spans="1:12" ht="15" customHeight="1" x14ac:dyDescent="0.2">
      <c r="A431" s="103" t="s">
        <v>73</v>
      </c>
      <c r="B431" s="198" t="s">
        <v>238</v>
      </c>
      <c r="C431" s="37" t="s">
        <v>239</v>
      </c>
      <c r="D431" s="103">
        <v>297</v>
      </c>
      <c r="E431" s="122">
        <v>242646208</v>
      </c>
      <c r="F431" s="122">
        <v>170112531</v>
      </c>
      <c r="G431" s="227" t="s">
        <v>457</v>
      </c>
      <c r="H431" s="122">
        <v>72533677</v>
      </c>
      <c r="I431" s="199">
        <v>0</v>
      </c>
      <c r="J431" s="199">
        <v>0</v>
      </c>
      <c r="K431" s="199">
        <v>0</v>
      </c>
      <c r="L431" s="122">
        <v>72533677</v>
      </c>
    </row>
    <row r="432" spans="1:12" ht="15" customHeight="1" x14ac:dyDescent="0.2">
      <c r="A432" s="103" t="s">
        <v>73</v>
      </c>
      <c r="B432" s="198" t="s">
        <v>240</v>
      </c>
      <c r="C432" s="37" t="s">
        <v>241</v>
      </c>
      <c r="D432" s="103">
        <v>166</v>
      </c>
      <c r="E432" s="122">
        <v>7441492</v>
      </c>
      <c r="F432" s="122">
        <v>5709338</v>
      </c>
      <c r="G432" s="227" t="s">
        <v>457</v>
      </c>
      <c r="H432" s="122">
        <v>1732154</v>
      </c>
      <c r="I432" s="199">
        <v>0</v>
      </c>
      <c r="J432" s="199">
        <v>0</v>
      </c>
      <c r="K432" s="199">
        <v>0</v>
      </c>
      <c r="L432" s="122">
        <v>1732154</v>
      </c>
    </row>
    <row r="433" spans="1:12" ht="15" customHeight="1" x14ac:dyDescent="0.2">
      <c r="A433" s="103" t="s">
        <v>73</v>
      </c>
      <c r="B433" s="198" t="s">
        <v>282</v>
      </c>
      <c r="C433" s="37" t="s">
        <v>283</v>
      </c>
      <c r="D433" s="103">
        <v>268</v>
      </c>
      <c r="E433" s="122">
        <v>6645364</v>
      </c>
      <c r="F433" s="122">
        <v>4043416</v>
      </c>
      <c r="G433" s="227" t="s">
        <v>457</v>
      </c>
      <c r="H433" s="122">
        <v>2601948</v>
      </c>
      <c r="I433" s="199">
        <v>0</v>
      </c>
      <c r="J433" s="199">
        <v>0</v>
      </c>
      <c r="K433" s="199">
        <v>0</v>
      </c>
      <c r="L433" s="122">
        <v>2601948</v>
      </c>
    </row>
    <row r="434" spans="1:12" ht="15" customHeight="1" x14ac:dyDescent="0.2">
      <c r="A434" s="103" t="s">
        <v>73</v>
      </c>
      <c r="B434" s="198" t="s">
        <v>242</v>
      </c>
      <c r="C434" s="37" t="s">
        <v>243</v>
      </c>
      <c r="D434" s="103">
        <v>32</v>
      </c>
      <c r="E434" s="122">
        <v>4523685</v>
      </c>
      <c r="F434" s="122">
        <v>4169933</v>
      </c>
      <c r="G434" s="227" t="s">
        <v>457</v>
      </c>
      <c r="H434" s="122">
        <v>353752</v>
      </c>
      <c r="I434" s="199">
        <v>0</v>
      </c>
      <c r="J434" s="199">
        <v>0</v>
      </c>
      <c r="K434" s="199">
        <v>0</v>
      </c>
      <c r="L434" s="122">
        <v>353752</v>
      </c>
    </row>
    <row r="435" spans="1:12" ht="15" customHeight="1" x14ac:dyDescent="0.2">
      <c r="A435" s="103" t="s">
        <v>73</v>
      </c>
      <c r="B435" s="198" t="s">
        <v>297</v>
      </c>
      <c r="C435" s="37" t="s">
        <v>245</v>
      </c>
      <c r="D435" s="103">
        <v>230</v>
      </c>
      <c r="E435" s="122">
        <v>5839873</v>
      </c>
      <c r="F435" s="122">
        <v>5536750</v>
      </c>
      <c r="G435" s="227" t="s">
        <v>457</v>
      </c>
      <c r="H435" s="122">
        <v>303123</v>
      </c>
      <c r="I435" s="199">
        <v>0</v>
      </c>
      <c r="J435" s="199">
        <v>0</v>
      </c>
      <c r="K435" s="199">
        <v>0</v>
      </c>
      <c r="L435" s="122">
        <v>303123</v>
      </c>
    </row>
    <row r="436" spans="1:12" ht="15" customHeight="1" x14ac:dyDescent="0.2">
      <c r="A436" s="103" t="s">
        <v>73</v>
      </c>
      <c r="B436" s="198" t="s">
        <v>284</v>
      </c>
      <c r="C436" s="37" t="s">
        <v>285</v>
      </c>
      <c r="D436" s="103">
        <v>148</v>
      </c>
      <c r="E436" s="122">
        <v>190413</v>
      </c>
      <c r="F436" s="122">
        <v>5416</v>
      </c>
      <c r="G436" s="227" t="s">
        <v>457</v>
      </c>
      <c r="H436" s="122">
        <v>184997</v>
      </c>
      <c r="I436" s="199">
        <v>0</v>
      </c>
      <c r="J436" s="199">
        <v>0</v>
      </c>
      <c r="K436" s="199">
        <v>0</v>
      </c>
      <c r="L436" s="122">
        <v>184997</v>
      </c>
    </row>
    <row r="437" spans="1:12" ht="15" customHeight="1" x14ac:dyDescent="0.2">
      <c r="A437" s="103" t="s">
        <v>73</v>
      </c>
      <c r="B437" s="198" t="s">
        <v>248</v>
      </c>
      <c r="C437" s="37" t="s">
        <v>249</v>
      </c>
      <c r="D437" s="103">
        <v>153</v>
      </c>
      <c r="E437" s="122">
        <v>4617785</v>
      </c>
      <c r="F437" s="122">
        <v>3861580</v>
      </c>
      <c r="G437" s="227" t="s">
        <v>457</v>
      </c>
      <c r="H437" s="122">
        <v>756205</v>
      </c>
      <c r="I437" s="199">
        <v>0</v>
      </c>
      <c r="J437" s="199">
        <v>0</v>
      </c>
      <c r="K437" s="199">
        <v>0</v>
      </c>
      <c r="L437" s="122">
        <v>756205</v>
      </c>
    </row>
    <row r="438" spans="1:12" ht="15" customHeight="1" x14ac:dyDescent="0.2">
      <c r="A438" s="103" t="s">
        <v>73</v>
      </c>
      <c r="B438" s="198" t="s">
        <v>266</v>
      </c>
      <c r="C438" s="37" t="s">
        <v>267</v>
      </c>
      <c r="D438" s="103">
        <v>155</v>
      </c>
      <c r="E438" s="122">
        <v>987871</v>
      </c>
      <c r="F438" s="122">
        <v>268064</v>
      </c>
      <c r="G438" s="227" t="s">
        <v>457</v>
      </c>
      <c r="H438" s="122">
        <v>719807</v>
      </c>
      <c r="I438" s="199">
        <v>0</v>
      </c>
      <c r="J438" s="199">
        <v>0</v>
      </c>
      <c r="K438" s="199">
        <v>0</v>
      </c>
      <c r="L438" s="122">
        <v>719807</v>
      </c>
    </row>
    <row r="439" spans="1:12" ht="15" customHeight="1" x14ac:dyDescent="0.2">
      <c r="A439" s="103" t="s">
        <v>73</v>
      </c>
      <c r="B439" s="198" t="s">
        <v>82</v>
      </c>
      <c r="C439" s="37" t="s">
        <v>83</v>
      </c>
      <c r="D439" s="103">
        <v>42</v>
      </c>
      <c r="E439" s="122">
        <v>16152484</v>
      </c>
      <c r="F439" s="122">
        <v>13025656</v>
      </c>
      <c r="G439" s="227" t="s">
        <v>457</v>
      </c>
      <c r="H439" s="122">
        <v>3126828</v>
      </c>
      <c r="I439" s="199">
        <v>0</v>
      </c>
      <c r="J439" s="199">
        <v>0</v>
      </c>
      <c r="K439" s="199">
        <v>0</v>
      </c>
      <c r="L439" s="122">
        <v>3126828</v>
      </c>
    </row>
    <row r="440" spans="1:12" ht="15" customHeight="1" x14ac:dyDescent="0.2">
      <c r="A440" s="103" t="s">
        <v>73</v>
      </c>
      <c r="B440" s="198" t="s">
        <v>250</v>
      </c>
      <c r="C440" s="37" t="s">
        <v>239</v>
      </c>
      <c r="D440" s="103">
        <v>48</v>
      </c>
      <c r="E440" s="122">
        <v>23711552</v>
      </c>
      <c r="F440" s="122">
        <v>20724878</v>
      </c>
      <c r="G440" s="227" t="s">
        <v>457</v>
      </c>
      <c r="H440" s="122">
        <v>2986674</v>
      </c>
      <c r="I440" s="199">
        <v>0</v>
      </c>
      <c r="J440" s="199">
        <v>0</v>
      </c>
      <c r="K440" s="199">
        <v>0</v>
      </c>
      <c r="L440" s="122">
        <v>2986674</v>
      </c>
    </row>
    <row r="441" spans="1:12" ht="15" customHeight="1" x14ac:dyDescent="0.2">
      <c r="A441" s="103" t="s">
        <v>73</v>
      </c>
      <c r="B441" s="198" t="s">
        <v>71</v>
      </c>
      <c r="C441" s="37" t="s">
        <v>72</v>
      </c>
      <c r="D441" s="103">
        <v>218</v>
      </c>
      <c r="E441" s="122">
        <v>3581330</v>
      </c>
      <c r="F441" s="122">
        <v>2599910</v>
      </c>
      <c r="G441" s="227" t="s">
        <v>457</v>
      </c>
      <c r="H441" s="122">
        <v>981420</v>
      </c>
      <c r="I441" s="199">
        <v>0</v>
      </c>
      <c r="J441" s="199">
        <v>0</v>
      </c>
      <c r="K441" s="199">
        <v>0</v>
      </c>
      <c r="L441" s="122">
        <v>981420</v>
      </c>
    </row>
    <row r="442" spans="1:12" ht="15" customHeight="1" x14ac:dyDescent="0.2">
      <c r="A442" s="103" t="s">
        <v>73</v>
      </c>
      <c r="B442" s="198" t="s">
        <v>251</v>
      </c>
      <c r="C442" s="37" t="s">
        <v>252</v>
      </c>
      <c r="D442" s="103">
        <v>350</v>
      </c>
      <c r="E442" s="122">
        <v>75583</v>
      </c>
      <c r="F442" s="122">
        <v>67957</v>
      </c>
      <c r="G442" s="227" t="s">
        <v>457</v>
      </c>
      <c r="H442" s="122">
        <v>7626</v>
      </c>
      <c r="I442" s="199">
        <v>0</v>
      </c>
      <c r="J442" s="199">
        <v>0</v>
      </c>
      <c r="K442" s="199">
        <v>0</v>
      </c>
      <c r="L442" s="122">
        <v>7626</v>
      </c>
    </row>
    <row r="443" spans="1:12" ht="15" customHeight="1" x14ac:dyDescent="0.2">
      <c r="A443" s="103" t="s">
        <v>73</v>
      </c>
      <c r="B443" s="198" t="s">
        <v>308</v>
      </c>
      <c r="C443" s="37" t="s">
        <v>309</v>
      </c>
      <c r="D443" s="103">
        <v>195</v>
      </c>
      <c r="E443" s="122">
        <v>9000</v>
      </c>
      <c r="F443" s="122">
        <v>4735</v>
      </c>
      <c r="G443" s="227" t="s">
        <v>457</v>
      </c>
      <c r="H443" s="122">
        <v>4265</v>
      </c>
      <c r="I443" s="199">
        <v>0</v>
      </c>
      <c r="J443" s="199">
        <v>0</v>
      </c>
      <c r="K443" s="199">
        <v>0</v>
      </c>
      <c r="L443" s="122">
        <v>4265</v>
      </c>
    </row>
    <row r="444" spans="1:12" ht="15" customHeight="1" x14ac:dyDescent="0.2">
      <c r="A444" s="103" t="s">
        <v>73</v>
      </c>
      <c r="B444" s="198" t="s">
        <v>268</v>
      </c>
      <c r="C444" s="37" t="s">
        <v>269</v>
      </c>
      <c r="D444" s="103">
        <v>173</v>
      </c>
      <c r="E444" s="122">
        <v>1547323</v>
      </c>
      <c r="F444" s="122">
        <v>1294523</v>
      </c>
      <c r="G444" s="227" t="s">
        <v>457</v>
      </c>
      <c r="H444" s="122">
        <v>252800</v>
      </c>
      <c r="I444" s="199">
        <v>0</v>
      </c>
      <c r="J444" s="199">
        <v>0</v>
      </c>
      <c r="K444" s="199">
        <v>0</v>
      </c>
      <c r="L444" s="122">
        <v>252800</v>
      </c>
    </row>
    <row r="445" spans="1:12" ht="15" customHeight="1" x14ac:dyDescent="0.2">
      <c r="A445" s="103" t="s">
        <v>73</v>
      </c>
      <c r="B445" s="198" t="s">
        <v>301</v>
      </c>
      <c r="C445" s="37" t="s">
        <v>302</v>
      </c>
      <c r="D445" s="103">
        <v>304</v>
      </c>
      <c r="E445" s="122">
        <v>201323</v>
      </c>
      <c r="F445" s="122">
        <v>12323</v>
      </c>
      <c r="G445" s="227" t="s">
        <v>457</v>
      </c>
      <c r="H445" s="122">
        <v>189000</v>
      </c>
      <c r="I445" s="199">
        <v>0</v>
      </c>
      <c r="J445" s="199">
        <v>0</v>
      </c>
      <c r="K445" s="199">
        <v>0</v>
      </c>
      <c r="L445" s="122">
        <v>189000</v>
      </c>
    </row>
    <row r="446" spans="1:12" ht="30" customHeight="1" x14ac:dyDescent="0.2">
      <c r="A446" s="103" t="s">
        <v>73</v>
      </c>
      <c r="B446" s="198" t="s">
        <v>303</v>
      </c>
      <c r="C446" s="37" t="s">
        <v>304</v>
      </c>
      <c r="D446" s="103">
        <v>329</v>
      </c>
      <c r="E446" s="122">
        <v>1485859</v>
      </c>
      <c r="F446" s="122">
        <v>1185110</v>
      </c>
      <c r="G446" s="227" t="s">
        <v>457</v>
      </c>
      <c r="H446" s="122">
        <v>300749</v>
      </c>
      <c r="I446" s="199">
        <v>0</v>
      </c>
      <c r="J446" s="199">
        <v>0</v>
      </c>
      <c r="K446" s="199">
        <v>0</v>
      </c>
      <c r="L446" s="122">
        <v>300749</v>
      </c>
    </row>
    <row r="447" spans="1:12" ht="30" customHeight="1" x14ac:dyDescent="0.2">
      <c r="A447" s="103" t="s">
        <v>73</v>
      </c>
      <c r="B447" s="198" t="s">
        <v>275</v>
      </c>
      <c r="C447" s="37" t="s">
        <v>276</v>
      </c>
      <c r="D447" s="103">
        <v>261</v>
      </c>
      <c r="E447" s="122">
        <v>790823</v>
      </c>
      <c r="F447" s="122">
        <v>738103</v>
      </c>
      <c r="G447" s="227" t="s">
        <v>457</v>
      </c>
      <c r="H447" s="122">
        <v>52720</v>
      </c>
      <c r="I447" s="199">
        <v>0</v>
      </c>
      <c r="J447" s="199">
        <v>0</v>
      </c>
      <c r="K447" s="199">
        <v>0</v>
      </c>
      <c r="L447" s="122">
        <v>52720</v>
      </c>
    </row>
    <row r="448" spans="1:12" ht="15" customHeight="1" x14ac:dyDescent="0.2">
      <c r="A448" s="103" t="s">
        <v>73</v>
      </c>
      <c r="B448" s="198" t="s">
        <v>270</v>
      </c>
      <c r="C448" s="37" t="s">
        <v>256</v>
      </c>
      <c r="D448" s="103">
        <v>244</v>
      </c>
      <c r="E448" s="122">
        <v>1888836</v>
      </c>
      <c r="F448" s="122">
        <v>1773230</v>
      </c>
      <c r="G448" s="227" t="s">
        <v>457</v>
      </c>
      <c r="H448" s="122">
        <v>115606</v>
      </c>
      <c r="I448" s="199">
        <v>0</v>
      </c>
      <c r="J448" s="199">
        <v>0</v>
      </c>
      <c r="K448" s="199">
        <v>0</v>
      </c>
      <c r="L448" s="122">
        <v>115606</v>
      </c>
    </row>
    <row r="449" spans="1:12" ht="15" customHeight="1" x14ac:dyDescent="0.2">
      <c r="A449" s="103" t="s">
        <v>73</v>
      </c>
      <c r="B449" s="198" t="s">
        <v>286</v>
      </c>
      <c r="C449" s="37" t="s">
        <v>239</v>
      </c>
      <c r="D449" s="103">
        <v>280</v>
      </c>
      <c r="E449" s="122">
        <v>119811</v>
      </c>
      <c r="F449" s="122">
        <v>29250</v>
      </c>
      <c r="G449" s="227" t="s">
        <v>457</v>
      </c>
      <c r="H449" s="122">
        <v>90561</v>
      </c>
      <c r="I449" s="199">
        <v>0</v>
      </c>
      <c r="J449" s="199">
        <v>0</v>
      </c>
      <c r="K449" s="199">
        <v>0</v>
      </c>
      <c r="L449" s="122">
        <v>90561</v>
      </c>
    </row>
    <row r="450" spans="1:12" ht="15" customHeight="1" x14ac:dyDescent="0.2">
      <c r="A450" s="103" t="s">
        <v>73</v>
      </c>
      <c r="B450" s="198" t="s">
        <v>305</v>
      </c>
      <c r="C450" s="37" t="s">
        <v>226</v>
      </c>
      <c r="D450" s="103">
        <v>176</v>
      </c>
      <c r="E450" s="122">
        <v>4838148</v>
      </c>
      <c r="F450" s="122">
        <v>3627093</v>
      </c>
      <c r="G450" s="227" t="s">
        <v>457</v>
      </c>
      <c r="H450" s="122">
        <v>1211055</v>
      </c>
      <c r="I450" s="199">
        <v>0</v>
      </c>
      <c r="J450" s="199">
        <v>0</v>
      </c>
      <c r="K450" s="199">
        <v>0</v>
      </c>
      <c r="L450" s="122">
        <v>1211055</v>
      </c>
    </row>
    <row r="451" spans="1:12" s="229" customFormat="1" ht="15" customHeight="1" x14ac:dyDescent="0.2">
      <c r="A451" s="103" t="s">
        <v>73</v>
      </c>
      <c r="B451" s="198" t="s">
        <v>310</v>
      </c>
      <c r="C451" s="37" t="s">
        <v>311</v>
      </c>
      <c r="D451" s="103">
        <v>57</v>
      </c>
      <c r="E451" s="122">
        <v>108771</v>
      </c>
      <c r="F451" s="122">
        <v>62375</v>
      </c>
      <c r="G451" s="227" t="s">
        <v>457</v>
      </c>
      <c r="H451" s="122">
        <v>46396</v>
      </c>
      <c r="I451" s="199">
        <v>0</v>
      </c>
      <c r="J451" s="199">
        <v>0</v>
      </c>
      <c r="K451" s="199">
        <v>0</v>
      </c>
      <c r="L451" s="122">
        <v>46396</v>
      </c>
    </row>
    <row r="452" spans="1:12" ht="15" customHeight="1" x14ac:dyDescent="0.2">
      <c r="A452" s="103" t="s">
        <v>73</v>
      </c>
      <c r="B452" s="198" t="s">
        <v>253</v>
      </c>
      <c r="C452" s="37" t="s">
        <v>254</v>
      </c>
      <c r="D452" s="103">
        <v>171</v>
      </c>
      <c r="E452" s="122">
        <v>2690215</v>
      </c>
      <c r="F452" s="122">
        <v>2201763</v>
      </c>
      <c r="G452" s="227" t="s">
        <v>457</v>
      </c>
      <c r="H452" s="122">
        <v>488452</v>
      </c>
      <c r="I452" s="199">
        <v>0</v>
      </c>
      <c r="J452" s="199">
        <v>0</v>
      </c>
      <c r="K452" s="199">
        <v>0</v>
      </c>
      <c r="L452" s="122">
        <v>488452</v>
      </c>
    </row>
    <row r="453" spans="1:12" ht="30" customHeight="1" x14ac:dyDescent="0.2">
      <c r="A453" s="103" t="s">
        <v>73</v>
      </c>
      <c r="B453" s="198" t="s">
        <v>255</v>
      </c>
      <c r="C453" s="37" t="s">
        <v>256</v>
      </c>
      <c r="D453" s="103">
        <v>258</v>
      </c>
      <c r="E453" s="122">
        <v>3264325</v>
      </c>
      <c r="F453" s="122">
        <v>2074791</v>
      </c>
      <c r="G453" s="227" t="s">
        <v>457</v>
      </c>
      <c r="H453" s="122">
        <v>1189534</v>
      </c>
      <c r="I453" s="199">
        <v>0</v>
      </c>
      <c r="J453" s="199">
        <v>0</v>
      </c>
      <c r="K453" s="199">
        <v>0</v>
      </c>
      <c r="L453" s="122">
        <v>1189534</v>
      </c>
    </row>
    <row r="454" spans="1:12" ht="15" customHeight="1" x14ac:dyDescent="0.2">
      <c r="A454" s="103" t="s">
        <v>73</v>
      </c>
      <c r="B454" s="198" t="s">
        <v>287</v>
      </c>
      <c r="C454" s="37" t="s">
        <v>288</v>
      </c>
      <c r="D454" s="103">
        <v>228</v>
      </c>
      <c r="E454" s="122">
        <v>7405</v>
      </c>
      <c r="F454" s="122">
        <v>3652</v>
      </c>
      <c r="G454" s="227" t="s">
        <v>457</v>
      </c>
      <c r="H454" s="122">
        <v>3753</v>
      </c>
      <c r="I454" s="199">
        <v>0</v>
      </c>
      <c r="J454" s="199">
        <v>0</v>
      </c>
      <c r="K454" s="199">
        <v>0</v>
      </c>
      <c r="L454" s="122">
        <v>3753</v>
      </c>
    </row>
    <row r="455" spans="1:12" ht="15" customHeight="1" x14ac:dyDescent="0.2">
      <c r="A455" s="103" t="s">
        <v>73</v>
      </c>
      <c r="B455" s="198" t="s">
        <v>312</v>
      </c>
      <c r="C455" s="37" t="s">
        <v>313</v>
      </c>
      <c r="D455" s="103">
        <v>58</v>
      </c>
      <c r="E455" s="122">
        <v>205106</v>
      </c>
      <c r="F455" s="122">
        <v>197875</v>
      </c>
      <c r="G455" s="227" t="s">
        <v>457</v>
      </c>
      <c r="H455" s="122">
        <v>7231</v>
      </c>
      <c r="I455" s="199">
        <v>0</v>
      </c>
      <c r="J455" s="199">
        <v>0</v>
      </c>
      <c r="K455" s="199">
        <v>0</v>
      </c>
      <c r="L455" s="122">
        <v>7231</v>
      </c>
    </row>
    <row r="456" spans="1:12" ht="15" customHeight="1" x14ac:dyDescent="0.2">
      <c r="A456" s="103" t="s">
        <v>73</v>
      </c>
      <c r="B456" s="198" t="s">
        <v>289</v>
      </c>
      <c r="C456" s="37" t="s">
        <v>290</v>
      </c>
      <c r="D456" s="103">
        <v>308</v>
      </c>
      <c r="E456" s="122">
        <v>242733</v>
      </c>
      <c r="F456" s="122">
        <v>87061</v>
      </c>
      <c r="G456" s="227" t="s">
        <v>457</v>
      </c>
      <c r="H456" s="122">
        <v>155672</v>
      </c>
      <c r="I456" s="199">
        <v>0</v>
      </c>
      <c r="J456" s="199">
        <v>0</v>
      </c>
      <c r="K456" s="199">
        <v>0</v>
      </c>
      <c r="L456" s="122">
        <v>155672</v>
      </c>
    </row>
    <row r="457" spans="1:12" ht="15" customHeight="1" x14ac:dyDescent="0.2">
      <c r="A457" s="103" t="s">
        <v>73</v>
      </c>
      <c r="B457" s="198" t="s">
        <v>257</v>
      </c>
      <c r="C457" s="37" t="s">
        <v>239</v>
      </c>
      <c r="D457" s="103">
        <v>260</v>
      </c>
      <c r="E457" s="122">
        <v>17524560</v>
      </c>
      <c r="F457" s="122">
        <v>14643538</v>
      </c>
      <c r="G457" s="227" t="s">
        <v>457</v>
      </c>
      <c r="H457" s="122">
        <v>2881022</v>
      </c>
      <c r="I457" s="199">
        <v>0</v>
      </c>
      <c r="J457" s="199">
        <v>0</v>
      </c>
      <c r="K457" s="199">
        <v>0</v>
      </c>
      <c r="L457" s="122">
        <v>2881022</v>
      </c>
    </row>
    <row r="458" spans="1:12" ht="15" customHeight="1" x14ac:dyDescent="0.2">
      <c r="A458" s="103" t="s">
        <v>73</v>
      </c>
      <c r="B458" s="198" t="s">
        <v>271</v>
      </c>
      <c r="C458" s="37" t="s">
        <v>272</v>
      </c>
      <c r="D458" s="103">
        <v>346</v>
      </c>
      <c r="E458" s="122">
        <v>32108</v>
      </c>
      <c r="F458" s="122">
        <v>16987</v>
      </c>
      <c r="G458" s="227" t="s">
        <v>457</v>
      </c>
      <c r="H458" s="122">
        <v>15121</v>
      </c>
      <c r="I458" s="199">
        <v>0</v>
      </c>
      <c r="J458" s="199">
        <v>0</v>
      </c>
      <c r="K458" s="199">
        <v>0</v>
      </c>
      <c r="L458" s="122">
        <v>15121</v>
      </c>
    </row>
    <row r="459" spans="1:12" ht="15" customHeight="1" x14ac:dyDescent="0.2">
      <c r="A459" s="103" t="s">
        <v>73</v>
      </c>
      <c r="B459" s="198" t="s">
        <v>260</v>
      </c>
      <c r="C459" s="37" t="s">
        <v>261</v>
      </c>
      <c r="D459" s="103">
        <v>351</v>
      </c>
      <c r="E459" s="122">
        <v>122036</v>
      </c>
      <c r="F459" s="122">
        <v>112462</v>
      </c>
      <c r="G459" s="227" t="s">
        <v>457</v>
      </c>
      <c r="H459" s="122">
        <v>9574</v>
      </c>
      <c r="I459" s="199">
        <v>0</v>
      </c>
      <c r="J459" s="199">
        <v>0</v>
      </c>
      <c r="K459" s="199">
        <v>0</v>
      </c>
      <c r="L459" s="122">
        <v>9574</v>
      </c>
    </row>
    <row r="460" spans="1:12" ht="15" customHeight="1" x14ac:dyDescent="0.2">
      <c r="A460" s="206" t="s">
        <v>383</v>
      </c>
      <c r="B460" s="228" t="s">
        <v>457</v>
      </c>
      <c r="C460" s="228" t="s">
        <v>457</v>
      </c>
      <c r="D460" s="228" t="s">
        <v>457</v>
      </c>
      <c r="E460" s="117">
        <f>SUBTOTAL(109,school201011[Program
Costs])</f>
        <v>397974424</v>
      </c>
      <c r="F460" s="117">
        <f>SUBTOTAL(109,school201011[Less: Net
 Payments and 
Offsets 2])</f>
        <v>294514379</v>
      </c>
      <c r="G460" s="228" t="s">
        <v>457</v>
      </c>
      <c r="H460" s="117">
        <f>SUBTOTAL(109,school201011[Accounts Payable
Balance])</f>
        <v>103460045</v>
      </c>
      <c r="I460" s="204">
        <f>SUBTOTAL(109,school201011[Established
Accounts Receivable])</f>
        <v>0</v>
      </c>
      <c r="J460" s="204">
        <f>SUBTOTAL(109,school201011[Less: 
Recovered 
Amount])</f>
        <v>0</v>
      </c>
      <c r="K460" s="204">
        <f>SUBTOTAL(109,school201011[Accounts Receivable
Balance])</f>
        <v>0</v>
      </c>
      <c r="L460" s="117">
        <f>SUBTOTAL(109,school201011[Net
Balance])</f>
        <v>103460045</v>
      </c>
    </row>
    <row r="461" spans="1:12" x14ac:dyDescent="0.2">
      <c r="A461" s="169" t="s">
        <v>463</v>
      </c>
      <c r="B461" s="198"/>
      <c r="C461" s="37"/>
      <c r="D461" s="103"/>
      <c r="E461" s="122"/>
      <c r="F461" s="122"/>
      <c r="G461" s="122"/>
      <c r="H461" s="122"/>
      <c r="I461" s="122"/>
      <c r="J461" s="122"/>
      <c r="K461" s="122"/>
      <c r="L461" s="122"/>
    </row>
    <row r="462" spans="1:12" ht="50.1" customHeight="1" x14ac:dyDescent="0.2">
      <c r="A462" s="40" t="s">
        <v>1</v>
      </c>
      <c r="B462" s="40" t="s">
        <v>15</v>
      </c>
      <c r="C462" s="40" t="s">
        <v>16</v>
      </c>
      <c r="D462" s="40" t="s">
        <v>454</v>
      </c>
      <c r="E462" s="230" t="s">
        <v>3</v>
      </c>
      <c r="F462" s="231" t="s">
        <v>592</v>
      </c>
      <c r="G462" s="232" t="s">
        <v>462</v>
      </c>
      <c r="H462" s="230" t="s">
        <v>461</v>
      </c>
      <c r="I462" s="197" t="s">
        <v>460</v>
      </c>
      <c r="J462" s="230" t="s">
        <v>459</v>
      </c>
      <c r="K462" s="230" t="s">
        <v>458</v>
      </c>
      <c r="L462" s="230" t="s">
        <v>17</v>
      </c>
    </row>
    <row r="463" spans="1:12" ht="15" customHeight="1" x14ac:dyDescent="0.2">
      <c r="A463" s="103" t="s">
        <v>13</v>
      </c>
      <c r="B463" s="198" t="s">
        <v>277</v>
      </c>
      <c r="C463" s="37" t="s">
        <v>278</v>
      </c>
      <c r="D463" s="103">
        <v>305</v>
      </c>
      <c r="E463" s="122">
        <v>163684</v>
      </c>
      <c r="F463" s="122">
        <v>121828</v>
      </c>
      <c r="G463" s="227" t="s">
        <v>457</v>
      </c>
      <c r="H463" s="122">
        <v>41856</v>
      </c>
      <c r="I463" s="199">
        <v>0</v>
      </c>
      <c r="J463" s="199">
        <v>0</v>
      </c>
      <c r="K463" s="199">
        <v>0</v>
      </c>
      <c r="L463" s="122">
        <v>41856</v>
      </c>
    </row>
    <row r="464" spans="1:12" ht="15" customHeight="1" x14ac:dyDescent="0.2">
      <c r="A464" s="103" t="s">
        <v>13</v>
      </c>
      <c r="B464" s="198" t="s">
        <v>213</v>
      </c>
      <c r="C464" s="37" t="s">
        <v>214</v>
      </c>
      <c r="D464" s="103">
        <v>269</v>
      </c>
      <c r="E464" s="122">
        <v>12470</v>
      </c>
      <c r="F464" s="122">
        <v>9355</v>
      </c>
      <c r="G464" s="227" t="s">
        <v>457</v>
      </c>
      <c r="H464" s="122">
        <v>3115</v>
      </c>
      <c r="I464" s="199">
        <v>0</v>
      </c>
      <c r="J464" s="199">
        <v>0</v>
      </c>
      <c r="K464" s="199">
        <v>0</v>
      </c>
      <c r="L464" s="122">
        <v>3115</v>
      </c>
    </row>
    <row r="465" spans="1:12" ht="15" customHeight="1" x14ac:dyDescent="0.2">
      <c r="A465" s="103" t="s">
        <v>13</v>
      </c>
      <c r="B465" s="198" t="s">
        <v>217</v>
      </c>
      <c r="C465" s="37" t="s">
        <v>218</v>
      </c>
      <c r="D465" s="103">
        <v>250</v>
      </c>
      <c r="E465" s="122">
        <v>1382752</v>
      </c>
      <c r="F465" s="122">
        <v>1354624</v>
      </c>
      <c r="G465" s="227" t="s">
        <v>457</v>
      </c>
      <c r="H465" s="122">
        <v>28128</v>
      </c>
      <c r="I465" s="199">
        <v>0</v>
      </c>
      <c r="J465" s="199">
        <v>0</v>
      </c>
      <c r="K465" s="199">
        <v>0</v>
      </c>
      <c r="L465" s="122">
        <v>28128</v>
      </c>
    </row>
    <row r="466" spans="1:12" ht="15" customHeight="1" x14ac:dyDescent="0.2">
      <c r="A466" s="103" t="s">
        <v>13</v>
      </c>
      <c r="B466" s="198" t="s">
        <v>300</v>
      </c>
      <c r="C466" s="37" t="s">
        <v>296</v>
      </c>
      <c r="D466" s="103">
        <v>348</v>
      </c>
      <c r="E466" s="122">
        <v>54274890</v>
      </c>
      <c r="F466" s="122">
        <v>43186728</v>
      </c>
      <c r="G466" s="227" t="s">
        <v>457</v>
      </c>
      <c r="H466" s="122">
        <v>11088162</v>
      </c>
      <c r="I466" s="199">
        <v>0</v>
      </c>
      <c r="J466" s="199">
        <v>0</v>
      </c>
      <c r="K466" s="199">
        <v>0</v>
      </c>
      <c r="L466" s="122">
        <v>11088162</v>
      </c>
    </row>
    <row r="467" spans="1:12" ht="15" customHeight="1" x14ac:dyDescent="0.2">
      <c r="A467" s="103" t="s">
        <v>13</v>
      </c>
      <c r="B467" s="198" t="s">
        <v>291</v>
      </c>
      <c r="C467" s="37" t="s">
        <v>79</v>
      </c>
      <c r="D467" s="103">
        <v>354</v>
      </c>
      <c r="E467" s="122">
        <v>49027</v>
      </c>
      <c r="F467" s="122">
        <v>43176</v>
      </c>
      <c r="G467" s="227" t="s">
        <v>457</v>
      </c>
      <c r="H467" s="122">
        <v>5851</v>
      </c>
      <c r="I467" s="199">
        <v>0</v>
      </c>
      <c r="J467" s="199">
        <v>0</v>
      </c>
      <c r="K467" s="199">
        <v>0</v>
      </c>
      <c r="L467" s="122">
        <v>5851</v>
      </c>
    </row>
    <row r="468" spans="1:12" ht="15" customHeight="1" x14ac:dyDescent="0.2">
      <c r="A468" s="103" t="s">
        <v>13</v>
      </c>
      <c r="B468" s="198" t="s">
        <v>273</v>
      </c>
      <c r="C468" s="37" t="s">
        <v>274</v>
      </c>
      <c r="D468" s="103">
        <v>278</v>
      </c>
      <c r="E468" s="122">
        <v>1945612</v>
      </c>
      <c r="F468" s="122">
        <v>1771159</v>
      </c>
      <c r="G468" s="227" t="s">
        <v>457</v>
      </c>
      <c r="H468" s="122">
        <v>174453</v>
      </c>
      <c r="I468" s="199">
        <v>0</v>
      </c>
      <c r="J468" s="199">
        <v>0</v>
      </c>
      <c r="K468" s="199">
        <v>0</v>
      </c>
      <c r="L468" s="122">
        <v>174453</v>
      </c>
    </row>
    <row r="469" spans="1:12" ht="15" customHeight="1" x14ac:dyDescent="0.2">
      <c r="A469" s="103" t="s">
        <v>13</v>
      </c>
      <c r="B469" s="198" t="s">
        <v>279</v>
      </c>
      <c r="C469" s="37" t="s">
        <v>280</v>
      </c>
      <c r="D469" s="103">
        <v>309</v>
      </c>
      <c r="E469" s="122">
        <v>10638</v>
      </c>
      <c r="F469" s="122">
        <v>1061</v>
      </c>
      <c r="G469" s="227" t="s">
        <v>457</v>
      </c>
      <c r="H469" s="122">
        <v>9577</v>
      </c>
      <c r="I469" s="199">
        <v>0</v>
      </c>
      <c r="J469" s="199">
        <v>0</v>
      </c>
      <c r="K469" s="199">
        <v>0</v>
      </c>
      <c r="L469" s="122">
        <v>9577</v>
      </c>
    </row>
    <row r="470" spans="1:12" ht="30" customHeight="1" x14ac:dyDescent="0.2">
      <c r="A470" s="103" t="s">
        <v>13</v>
      </c>
      <c r="B470" s="198" t="s">
        <v>195</v>
      </c>
      <c r="C470" s="37" t="s">
        <v>196</v>
      </c>
      <c r="D470" s="103">
        <v>11</v>
      </c>
      <c r="E470" s="122">
        <v>21146549</v>
      </c>
      <c r="F470" s="122">
        <v>17942274</v>
      </c>
      <c r="G470" s="227" t="s">
        <v>457</v>
      </c>
      <c r="H470" s="122">
        <v>3204275</v>
      </c>
      <c r="I470" s="122">
        <v>6116</v>
      </c>
      <c r="J470" s="122">
        <v>2133</v>
      </c>
      <c r="K470" s="122">
        <v>3983</v>
      </c>
      <c r="L470" s="122">
        <v>3200292</v>
      </c>
    </row>
    <row r="471" spans="1:12" ht="15" customHeight="1" x14ac:dyDescent="0.2">
      <c r="A471" s="103" t="s">
        <v>13</v>
      </c>
      <c r="B471" s="198" t="s">
        <v>223</v>
      </c>
      <c r="C471" s="37" t="s">
        <v>224</v>
      </c>
      <c r="D471" s="103">
        <v>313</v>
      </c>
      <c r="E471" s="122">
        <v>3339644</v>
      </c>
      <c r="F471" s="122">
        <v>3296121</v>
      </c>
      <c r="G471" s="227" t="s">
        <v>457</v>
      </c>
      <c r="H471" s="122">
        <v>43523</v>
      </c>
      <c r="I471" s="199">
        <v>0</v>
      </c>
      <c r="J471" s="199">
        <v>0</v>
      </c>
      <c r="K471" s="199">
        <v>0</v>
      </c>
      <c r="L471" s="122">
        <v>43523</v>
      </c>
    </row>
    <row r="472" spans="1:12" ht="30" customHeight="1" x14ac:dyDescent="0.2">
      <c r="A472" s="103" t="s">
        <v>13</v>
      </c>
      <c r="B472" s="198" t="s">
        <v>227</v>
      </c>
      <c r="C472" s="37" t="s">
        <v>228</v>
      </c>
      <c r="D472" s="103">
        <v>272</v>
      </c>
      <c r="E472" s="122">
        <v>9245785</v>
      </c>
      <c r="F472" s="122">
        <v>9214618</v>
      </c>
      <c r="G472" s="227" t="s">
        <v>457</v>
      </c>
      <c r="H472" s="122">
        <v>31167</v>
      </c>
      <c r="I472" s="199">
        <v>0</v>
      </c>
      <c r="J472" s="199">
        <v>0</v>
      </c>
      <c r="K472" s="199">
        <v>0</v>
      </c>
      <c r="L472" s="122">
        <v>31167</v>
      </c>
    </row>
    <row r="473" spans="1:12" ht="30" customHeight="1" x14ac:dyDescent="0.2">
      <c r="A473" s="103" t="s">
        <v>13</v>
      </c>
      <c r="B473" s="198" t="s">
        <v>229</v>
      </c>
      <c r="C473" s="37" t="s">
        <v>230</v>
      </c>
      <c r="D473" s="103">
        <v>276</v>
      </c>
      <c r="E473" s="122">
        <v>824608</v>
      </c>
      <c r="F473" s="122">
        <v>616600</v>
      </c>
      <c r="G473" s="227" t="s">
        <v>457</v>
      </c>
      <c r="H473" s="122">
        <v>208008</v>
      </c>
      <c r="I473" s="199">
        <v>0</v>
      </c>
      <c r="J473" s="199">
        <v>0</v>
      </c>
      <c r="K473" s="199">
        <v>0</v>
      </c>
      <c r="L473" s="122">
        <v>208008</v>
      </c>
    </row>
    <row r="474" spans="1:12" ht="60" x14ac:dyDescent="0.2">
      <c r="A474" s="103" t="s">
        <v>13</v>
      </c>
      <c r="B474" s="198" t="s">
        <v>231</v>
      </c>
      <c r="C474" s="37" t="s">
        <v>232</v>
      </c>
      <c r="D474" s="103">
        <v>292</v>
      </c>
      <c r="E474" s="122">
        <v>8776032</v>
      </c>
      <c r="F474" s="122">
        <v>8520670</v>
      </c>
      <c r="G474" s="227" t="s">
        <v>457</v>
      </c>
      <c r="H474" s="122">
        <v>255362</v>
      </c>
      <c r="I474" s="122">
        <v>33477</v>
      </c>
      <c r="J474" s="122">
        <v>11081</v>
      </c>
      <c r="K474" s="122">
        <v>22396</v>
      </c>
      <c r="L474" s="122">
        <v>232966</v>
      </c>
    </row>
    <row r="475" spans="1:12" ht="30" customHeight="1" x14ac:dyDescent="0.2">
      <c r="A475" s="103" t="s">
        <v>13</v>
      </c>
      <c r="B475" s="198" t="s">
        <v>233</v>
      </c>
      <c r="C475" s="37" t="s">
        <v>234</v>
      </c>
      <c r="D475" s="103">
        <v>209</v>
      </c>
      <c r="E475" s="122">
        <v>337987</v>
      </c>
      <c r="F475" s="122">
        <v>316188</v>
      </c>
      <c r="G475" s="227" t="s">
        <v>457</v>
      </c>
      <c r="H475" s="122">
        <v>21799</v>
      </c>
      <c r="I475" s="199">
        <v>0</v>
      </c>
      <c r="J475" s="199">
        <v>0</v>
      </c>
      <c r="K475" s="199">
        <v>0</v>
      </c>
      <c r="L475" s="122">
        <v>21799</v>
      </c>
    </row>
    <row r="476" spans="1:12" ht="15" customHeight="1" x14ac:dyDescent="0.2">
      <c r="A476" s="103" t="s">
        <v>13</v>
      </c>
      <c r="B476" s="198" t="s">
        <v>235</v>
      </c>
      <c r="C476" s="37" t="s">
        <v>236</v>
      </c>
      <c r="D476" s="103">
        <v>183</v>
      </c>
      <c r="E476" s="122">
        <v>444298</v>
      </c>
      <c r="F476" s="122">
        <v>442546</v>
      </c>
      <c r="G476" s="227" t="s">
        <v>457</v>
      </c>
      <c r="H476" s="122">
        <v>1752</v>
      </c>
      <c r="I476" s="199">
        <v>0</v>
      </c>
      <c r="J476" s="199">
        <v>0</v>
      </c>
      <c r="K476" s="199">
        <v>0</v>
      </c>
      <c r="L476" s="122">
        <v>1752</v>
      </c>
    </row>
    <row r="477" spans="1:12" ht="15" customHeight="1" x14ac:dyDescent="0.2">
      <c r="A477" s="103" t="s">
        <v>13</v>
      </c>
      <c r="B477" s="198" t="s">
        <v>264</v>
      </c>
      <c r="C477" s="37" t="s">
        <v>265</v>
      </c>
      <c r="D477" s="103">
        <v>251</v>
      </c>
      <c r="E477" s="122">
        <v>382165</v>
      </c>
      <c r="F477" s="122">
        <v>323806</v>
      </c>
      <c r="G477" s="227" t="s">
        <v>457</v>
      </c>
      <c r="H477" s="122">
        <v>58359</v>
      </c>
      <c r="I477" s="199">
        <v>0</v>
      </c>
      <c r="J477" s="199">
        <v>0</v>
      </c>
      <c r="K477" s="199">
        <v>0</v>
      </c>
      <c r="L477" s="122">
        <v>58359</v>
      </c>
    </row>
    <row r="478" spans="1:12" ht="15" customHeight="1" x14ac:dyDescent="0.2">
      <c r="A478" s="103" t="s">
        <v>13</v>
      </c>
      <c r="B478" s="198" t="s">
        <v>306</v>
      </c>
      <c r="C478" s="37" t="s">
        <v>307</v>
      </c>
      <c r="D478" s="103">
        <v>333</v>
      </c>
      <c r="E478" s="122">
        <v>65793</v>
      </c>
      <c r="F478" s="122">
        <v>47649</v>
      </c>
      <c r="G478" s="227" t="s">
        <v>457</v>
      </c>
      <c r="H478" s="122">
        <v>18144</v>
      </c>
      <c r="I478" s="199">
        <v>0</v>
      </c>
      <c r="J478" s="199">
        <v>0</v>
      </c>
      <c r="K478" s="199">
        <v>0</v>
      </c>
      <c r="L478" s="122">
        <v>18144</v>
      </c>
    </row>
    <row r="479" spans="1:12" ht="15" customHeight="1" x14ac:dyDescent="0.2">
      <c r="A479" s="103" t="s">
        <v>13</v>
      </c>
      <c r="B479" s="198" t="s">
        <v>281</v>
      </c>
      <c r="C479" s="37" t="s">
        <v>226</v>
      </c>
      <c r="D479" s="103">
        <v>91</v>
      </c>
      <c r="E479" s="122">
        <v>12754</v>
      </c>
      <c r="F479" s="122">
        <v>10819</v>
      </c>
      <c r="G479" s="227" t="s">
        <v>457</v>
      </c>
      <c r="H479" s="122">
        <v>1935</v>
      </c>
      <c r="I479" s="199">
        <v>0</v>
      </c>
      <c r="J479" s="199">
        <v>0</v>
      </c>
      <c r="K479" s="199">
        <v>0</v>
      </c>
      <c r="L479" s="122">
        <v>1935</v>
      </c>
    </row>
    <row r="480" spans="1:12" ht="15" customHeight="1" x14ac:dyDescent="0.2">
      <c r="A480" s="103" t="s">
        <v>13</v>
      </c>
      <c r="B480" s="198" t="s">
        <v>238</v>
      </c>
      <c r="C480" s="37" t="s">
        <v>239</v>
      </c>
      <c r="D480" s="103">
        <v>297</v>
      </c>
      <c r="E480" s="122">
        <v>256893924</v>
      </c>
      <c r="F480" s="122">
        <v>175216847</v>
      </c>
      <c r="G480" s="227" t="s">
        <v>457</v>
      </c>
      <c r="H480" s="122">
        <v>81677077</v>
      </c>
      <c r="I480" s="199">
        <v>0</v>
      </c>
      <c r="J480" s="199">
        <v>0</v>
      </c>
      <c r="K480" s="199">
        <v>0</v>
      </c>
      <c r="L480" s="122">
        <v>81677077</v>
      </c>
    </row>
    <row r="481" spans="1:12" ht="15" customHeight="1" x14ac:dyDescent="0.2">
      <c r="A481" s="103" t="s">
        <v>13</v>
      </c>
      <c r="B481" s="198" t="s">
        <v>240</v>
      </c>
      <c r="C481" s="37" t="s">
        <v>241</v>
      </c>
      <c r="D481" s="103">
        <v>166</v>
      </c>
      <c r="E481" s="122">
        <v>8133459</v>
      </c>
      <c r="F481" s="122">
        <v>7007725</v>
      </c>
      <c r="G481" s="227" t="s">
        <v>457</v>
      </c>
      <c r="H481" s="122">
        <v>1125734</v>
      </c>
      <c r="I481" s="199">
        <v>0</v>
      </c>
      <c r="J481" s="199">
        <v>0</v>
      </c>
      <c r="K481" s="199">
        <v>0</v>
      </c>
      <c r="L481" s="122">
        <v>1125734</v>
      </c>
    </row>
    <row r="482" spans="1:12" ht="15" customHeight="1" x14ac:dyDescent="0.2">
      <c r="A482" s="103" t="s">
        <v>13</v>
      </c>
      <c r="B482" s="198" t="s">
        <v>282</v>
      </c>
      <c r="C482" s="37" t="s">
        <v>283</v>
      </c>
      <c r="D482" s="103">
        <v>268</v>
      </c>
      <c r="E482" s="122">
        <v>7419164</v>
      </c>
      <c r="F482" s="122">
        <v>6754707</v>
      </c>
      <c r="G482" s="227" t="s">
        <v>457</v>
      </c>
      <c r="H482" s="122">
        <v>664457</v>
      </c>
      <c r="I482" s="199">
        <v>0</v>
      </c>
      <c r="J482" s="199">
        <v>0</v>
      </c>
      <c r="K482" s="199">
        <v>0</v>
      </c>
      <c r="L482" s="122">
        <v>664457</v>
      </c>
    </row>
    <row r="483" spans="1:12" ht="15" customHeight="1" x14ac:dyDescent="0.2">
      <c r="A483" s="103" t="s">
        <v>13</v>
      </c>
      <c r="B483" s="198" t="s">
        <v>242</v>
      </c>
      <c r="C483" s="37" t="s">
        <v>243</v>
      </c>
      <c r="D483" s="103">
        <v>32</v>
      </c>
      <c r="E483" s="122">
        <v>4671453</v>
      </c>
      <c r="F483" s="122">
        <v>4619165</v>
      </c>
      <c r="G483" s="227" t="s">
        <v>457</v>
      </c>
      <c r="H483" s="122">
        <v>52288</v>
      </c>
      <c r="I483" s="199">
        <v>0</v>
      </c>
      <c r="J483" s="199">
        <v>0</v>
      </c>
      <c r="K483" s="199">
        <v>0</v>
      </c>
      <c r="L483" s="122">
        <v>52288</v>
      </c>
    </row>
    <row r="484" spans="1:12" ht="15" customHeight="1" x14ac:dyDescent="0.2">
      <c r="A484" s="103" t="s">
        <v>13</v>
      </c>
      <c r="B484" s="198" t="s">
        <v>297</v>
      </c>
      <c r="C484" s="37" t="s">
        <v>245</v>
      </c>
      <c r="D484" s="103">
        <v>230</v>
      </c>
      <c r="E484" s="122">
        <v>5705616</v>
      </c>
      <c r="F484" s="122">
        <v>5667416</v>
      </c>
      <c r="G484" s="227" t="s">
        <v>457</v>
      </c>
      <c r="H484" s="122">
        <v>38200</v>
      </c>
      <c r="I484" s="122">
        <v>173</v>
      </c>
      <c r="J484" s="122">
        <v>173</v>
      </c>
      <c r="K484" s="199">
        <v>0</v>
      </c>
      <c r="L484" s="122">
        <v>38200</v>
      </c>
    </row>
    <row r="485" spans="1:12" ht="15" customHeight="1" x14ac:dyDescent="0.2">
      <c r="A485" s="103" t="s">
        <v>13</v>
      </c>
      <c r="B485" s="198" t="s">
        <v>284</v>
      </c>
      <c r="C485" s="37" t="s">
        <v>285</v>
      </c>
      <c r="D485" s="103">
        <v>148</v>
      </c>
      <c r="E485" s="122">
        <v>199869</v>
      </c>
      <c r="F485" s="122">
        <v>7800</v>
      </c>
      <c r="G485" s="227" t="s">
        <v>457</v>
      </c>
      <c r="H485" s="122">
        <v>192069</v>
      </c>
      <c r="I485" s="199">
        <v>0</v>
      </c>
      <c r="J485" s="199">
        <v>0</v>
      </c>
      <c r="K485" s="199">
        <v>0</v>
      </c>
      <c r="L485" s="122">
        <v>192069</v>
      </c>
    </row>
    <row r="486" spans="1:12" ht="15" customHeight="1" x14ac:dyDescent="0.2">
      <c r="A486" s="103" t="s">
        <v>13</v>
      </c>
      <c r="B486" s="198" t="s">
        <v>248</v>
      </c>
      <c r="C486" s="37" t="s">
        <v>249</v>
      </c>
      <c r="D486" s="103">
        <v>153</v>
      </c>
      <c r="E486" s="122">
        <v>4394453</v>
      </c>
      <c r="F486" s="122">
        <v>4276983</v>
      </c>
      <c r="G486" s="227" t="s">
        <v>457</v>
      </c>
      <c r="H486" s="122">
        <v>117470</v>
      </c>
      <c r="I486" s="199">
        <v>0</v>
      </c>
      <c r="J486" s="199">
        <v>0</v>
      </c>
      <c r="K486" s="199">
        <v>0</v>
      </c>
      <c r="L486" s="122">
        <v>117470</v>
      </c>
    </row>
    <row r="487" spans="1:12" ht="15" customHeight="1" x14ac:dyDescent="0.2">
      <c r="A487" s="103" t="s">
        <v>13</v>
      </c>
      <c r="B487" s="198" t="s">
        <v>266</v>
      </c>
      <c r="C487" s="37" t="s">
        <v>267</v>
      </c>
      <c r="D487" s="103">
        <v>155</v>
      </c>
      <c r="E487" s="122">
        <v>1071881</v>
      </c>
      <c r="F487" s="122">
        <v>1019256</v>
      </c>
      <c r="G487" s="227" t="s">
        <v>457</v>
      </c>
      <c r="H487" s="122">
        <v>52625</v>
      </c>
      <c r="I487" s="199">
        <v>0</v>
      </c>
      <c r="J487" s="199">
        <v>0</v>
      </c>
      <c r="K487" s="199">
        <v>0</v>
      </c>
      <c r="L487" s="122">
        <v>52625</v>
      </c>
    </row>
    <row r="488" spans="1:12" ht="15" customHeight="1" x14ac:dyDescent="0.2">
      <c r="A488" s="103" t="s">
        <v>13</v>
      </c>
      <c r="B488" s="198" t="s">
        <v>82</v>
      </c>
      <c r="C488" s="37" t="s">
        <v>83</v>
      </c>
      <c r="D488" s="103">
        <v>42</v>
      </c>
      <c r="E488" s="122">
        <v>16547869</v>
      </c>
      <c r="F488" s="122">
        <v>13812414</v>
      </c>
      <c r="G488" s="227" t="s">
        <v>457</v>
      </c>
      <c r="H488" s="122">
        <v>2735455</v>
      </c>
      <c r="I488" s="122">
        <v>5</v>
      </c>
      <c r="J488" s="122">
        <v>1</v>
      </c>
      <c r="K488" s="122">
        <v>4</v>
      </c>
      <c r="L488" s="122">
        <v>2735451</v>
      </c>
    </row>
    <row r="489" spans="1:12" ht="15" customHeight="1" x14ac:dyDescent="0.2">
      <c r="A489" s="103" t="s">
        <v>13</v>
      </c>
      <c r="B489" s="198" t="s">
        <v>250</v>
      </c>
      <c r="C489" s="37" t="s">
        <v>239</v>
      </c>
      <c r="D489" s="103">
        <v>48</v>
      </c>
      <c r="E489" s="122">
        <v>18493781</v>
      </c>
      <c r="F489" s="122">
        <v>16223313</v>
      </c>
      <c r="G489" s="227" t="s">
        <v>457</v>
      </c>
      <c r="H489" s="122">
        <v>2270468</v>
      </c>
      <c r="I489" s="199">
        <v>0</v>
      </c>
      <c r="J489" s="199">
        <v>0</v>
      </c>
      <c r="K489" s="199">
        <v>0</v>
      </c>
      <c r="L489" s="122">
        <v>2270468</v>
      </c>
    </row>
    <row r="490" spans="1:12" ht="15" customHeight="1" x14ac:dyDescent="0.2">
      <c r="A490" s="103" t="s">
        <v>13</v>
      </c>
      <c r="B490" s="198" t="s">
        <v>71</v>
      </c>
      <c r="C490" s="37" t="s">
        <v>72</v>
      </c>
      <c r="D490" s="103">
        <v>218</v>
      </c>
      <c r="E490" s="122">
        <v>3729137</v>
      </c>
      <c r="F490" s="122">
        <v>2850496</v>
      </c>
      <c r="G490" s="227" t="s">
        <v>457</v>
      </c>
      <c r="H490" s="122">
        <v>878641</v>
      </c>
      <c r="I490" s="199">
        <v>0</v>
      </c>
      <c r="J490" s="199">
        <v>0</v>
      </c>
      <c r="K490" s="199">
        <v>0</v>
      </c>
      <c r="L490" s="122">
        <v>878641</v>
      </c>
    </row>
    <row r="491" spans="1:12" ht="15" customHeight="1" x14ac:dyDescent="0.2">
      <c r="A491" s="103" t="s">
        <v>13</v>
      </c>
      <c r="B491" s="198" t="s">
        <v>251</v>
      </c>
      <c r="C491" s="37" t="s">
        <v>252</v>
      </c>
      <c r="D491" s="103">
        <v>350</v>
      </c>
      <c r="E491" s="122">
        <v>66447</v>
      </c>
      <c r="F491" s="122">
        <v>54751</v>
      </c>
      <c r="G491" s="227" t="s">
        <v>457</v>
      </c>
      <c r="H491" s="122">
        <v>11696</v>
      </c>
      <c r="I491" s="199">
        <v>0</v>
      </c>
      <c r="J491" s="199">
        <v>0</v>
      </c>
      <c r="K491" s="199">
        <v>0</v>
      </c>
      <c r="L491" s="122">
        <v>11696</v>
      </c>
    </row>
    <row r="492" spans="1:12" ht="15" customHeight="1" x14ac:dyDescent="0.2">
      <c r="A492" s="103" t="s">
        <v>13</v>
      </c>
      <c r="B492" s="198" t="s">
        <v>301</v>
      </c>
      <c r="C492" s="37" t="s">
        <v>302</v>
      </c>
      <c r="D492" s="103">
        <v>304</v>
      </c>
      <c r="E492" s="122">
        <v>22223</v>
      </c>
      <c r="F492" s="122">
        <v>5219</v>
      </c>
      <c r="G492" s="227" t="s">
        <v>457</v>
      </c>
      <c r="H492" s="122">
        <v>17004</v>
      </c>
      <c r="I492" s="199">
        <v>0</v>
      </c>
      <c r="J492" s="199">
        <v>0</v>
      </c>
      <c r="K492" s="199">
        <v>0</v>
      </c>
      <c r="L492" s="122">
        <v>17004</v>
      </c>
    </row>
    <row r="493" spans="1:12" ht="30" customHeight="1" x14ac:dyDescent="0.2">
      <c r="A493" s="103" t="s">
        <v>13</v>
      </c>
      <c r="B493" s="198" t="s">
        <v>303</v>
      </c>
      <c r="C493" s="37" t="s">
        <v>304</v>
      </c>
      <c r="D493" s="103">
        <v>329</v>
      </c>
      <c r="E493" s="122">
        <v>1446214</v>
      </c>
      <c r="F493" s="122">
        <v>1118940</v>
      </c>
      <c r="G493" s="227" t="s">
        <v>457</v>
      </c>
      <c r="H493" s="122">
        <v>327274</v>
      </c>
      <c r="I493" s="199">
        <v>0</v>
      </c>
      <c r="J493" s="199">
        <v>0</v>
      </c>
      <c r="K493" s="199">
        <v>0</v>
      </c>
      <c r="L493" s="122">
        <v>327274</v>
      </c>
    </row>
    <row r="494" spans="1:12" ht="30" customHeight="1" x14ac:dyDescent="0.2">
      <c r="A494" s="103" t="s">
        <v>13</v>
      </c>
      <c r="B494" s="198" t="s">
        <v>275</v>
      </c>
      <c r="C494" s="37" t="s">
        <v>276</v>
      </c>
      <c r="D494" s="103">
        <v>261</v>
      </c>
      <c r="E494" s="122">
        <v>906604</v>
      </c>
      <c r="F494" s="122">
        <v>899722</v>
      </c>
      <c r="G494" s="227" t="s">
        <v>457</v>
      </c>
      <c r="H494" s="122">
        <v>6882</v>
      </c>
      <c r="I494" s="199">
        <v>0</v>
      </c>
      <c r="J494" s="199">
        <v>0</v>
      </c>
      <c r="K494" s="199">
        <v>0</v>
      </c>
      <c r="L494" s="122">
        <v>6882</v>
      </c>
    </row>
    <row r="495" spans="1:12" ht="15" customHeight="1" x14ac:dyDescent="0.2">
      <c r="A495" s="103" t="s">
        <v>13</v>
      </c>
      <c r="B495" s="198" t="s">
        <v>270</v>
      </c>
      <c r="C495" s="37" t="s">
        <v>256</v>
      </c>
      <c r="D495" s="103">
        <v>244</v>
      </c>
      <c r="E495" s="122">
        <v>2764503</v>
      </c>
      <c r="F495" s="122">
        <v>2710687</v>
      </c>
      <c r="G495" s="227" t="s">
        <v>457</v>
      </c>
      <c r="H495" s="122">
        <v>53816</v>
      </c>
      <c r="I495" s="199">
        <v>0</v>
      </c>
      <c r="J495" s="199">
        <v>0</v>
      </c>
      <c r="K495" s="199">
        <v>0</v>
      </c>
      <c r="L495" s="122">
        <v>53816</v>
      </c>
    </row>
    <row r="496" spans="1:12" ht="15" customHeight="1" x14ac:dyDescent="0.2">
      <c r="A496" s="103" t="s">
        <v>13</v>
      </c>
      <c r="B496" s="198" t="s">
        <v>314</v>
      </c>
      <c r="C496" s="37" t="s">
        <v>315</v>
      </c>
      <c r="D496" s="103">
        <v>182</v>
      </c>
      <c r="E496" s="122">
        <v>113910</v>
      </c>
      <c r="F496" s="122">
        <v>97651</v>
      </c>
      <c r="G496" s="227" t="s">
        <v>457</v>
      </c>
      <c r="H496" s="122">
        <v>16259</v>
      </c>
      <c r="I496" s="122">
        <v>19</v>
      </c>
      <c r="J496" s="122">
        <v>19</v>
      </c>
      <c r="K496" s="199">
        <v>0</v>
      </c>
      <c r="L496" s="122">
        <v>16259</v>
      </c>
    </row>
    <row r="497" spans="1:12" s="229" customFormat="1" ht="15" customHeight="1" x14ac:dyDescent="0.2">
      <c r="A497" s="103" t="s">
        <v>13</v>
      </c>
      <c r="B497" s="198" t="s">
        <v>286</v>
      </c>
      <c r="C497" s="37" t="s">
        <v>239</v>
      </c>
      <c r="D497" s="103">
        <v>280</v>
      </c>
      <c r="E497" s="122">
        <v>118719</v>
      </c>
      <c r="F497" s="122">
        <v>82734</v>
      </c>
      <c r="G497" s="227" t="s">
        <v>457</v>
      </c>
      <c r="H497" s="122">
        <v>35985</v>
      </c>
      <c r="I497" s="199">
        <v>0</v>
      </c>
      <c r="J497" s="199">
        <v>0</v>
      </c>
      <c r="K497" s="199">
        <v>0</v>
      </c>
      <c r="L497" s="122">
        <v>35985</v>
      </c>
    </row>
    <row r="498" spans="1:12" ht="15" customHeight="1" x14ac:dyDescent="0.2">
      <c r="A498" s="103" t="s">
        <v>13</v>
      </c>
      <c r="B498" s="198" t="s">
        <v>305</v>
      </c>
      <c r="C498" s="37" t="s">
        <v>226</v>
      </c>
      <c r="D498" s="103">
        <v>176</v>
      </c>
      <c r="E498" s="122">
        <v>5591939</v>
      </c>
      <c r="F498" s="122">
        <v>5576654</v>
      </c>
      <c r="G498" s="227" t="s">
        <v>457</v>
      </c>
      <c r="H498" s="122">
        <v>15285</v>
      </c>
      <c r="I498" s="122">
        <v>30395</v>
      </c>
      <c r="J498" s="199">
        <v>0</v>
      </c>
      <c r="K498" s="122">
        <v>30395</v>
      </c>
      <c r="L498" s="122">
        <v>-15110</v>
      </c>
    </row>
    <row r="499" spans="1:12" ht="15" customHeight="1" x14ac:dyDescent="0.2">
      <c r="A499" s="103" t="s">
        <v>13</v>
      </c>
      <c r="B499" s="198" t="s">
        <v>310</v>
      </c>
      <c r="C499" s="37" t="s">
        <v>311</v>
      </c>
      <c r="D499" s="103">
        <v>57</v>
      </c>
      <c r="E499" s="122">
        <v>973526</v>
      </c>
      <c r="F499" s="122">
        <v>729055</v>
      </c>
      <c r="G499" s="227" t="s">
        <v>457</v>
      </c>
      <c r="H499" s="122">
        <v>244471</v>
      </c>
      <c r="I499" s="199">
        <v>0</v>
      </c>
      <c r="J499" s="199">
        <v>0</v>
      </c>
      <c r="K499" s="199">
        <v>0</v>
      </c>
      <c r="L499" s="122">
        <v>244471</v>
      </c>
    </row>
    <row r="500" spans="1:12" ht="15" customHeight="1" x14ac:dyDescent="0.2">
      <c r="A500" s="103" t="s">
        <v>13</v>
      </c>
      <c r="B500" s="198" t="s">
        <v>253</v>
      </c>
      <c r="C500" s="37" t="s">
        <v>254</v>
      </c>
      <c r="D500" s="103">
        <v>171</v>
      </c>
      <c r="E500" s="122">
        <v>2358194</v>
      </c>
      <c r="F500" s="122">
        <v>2024268</v>
      </c>
      <c r="G500" s="227" t="s">
        <v>457</v>
      </c>
      <c r="H500" s="122">
        <v>333926</v>
      </c>
      <c r="I500" s="199">
        <v>0</v>
      </c>
      <c r="J500" s="199">
        <v>0</v>
      </c>
      <c r="K500" s="199">
        <v>0</v>
      </c>
      <c r="L500" s="122">
        <v>333926</v>
      </c>
    </row>
    <row r="501" spans="1:12" ht="30" customHeight="1" x14ac:dyDescent="0.2">
      <c r="A501" s="103" t="s">
        <v>13</v>
      </c>
      <c r="B501" s="198" t="s">
        <v>255</v>
      </c>
      <c r="C501" s="37" t="s">
        <v>256</v>
      </c>
      <c r="D501" s="103">
        <v>258</v>
      </c>
      <c r="E501" s="122">
        <v>3461835</v>
      </c>
      <c r="F501" s="122">
        <v>3265219</v>
      </c>
      <c r="G501" s="227" t="s">
        <v>457</v>
      </c>
      <c r="H501" s="122">
        <v>196616</v>
      </c>
      <c r="I501" s="199">
        <v>0</v>
      </c>
      <c r="J501" s="199">
        <v>0</v>
      </c>
      <c r="K501" s="199">
        <v>0</v>
      </c>
      <c r="L501" s="122">
        <v>196616</v>
      </c>
    </row>
    <row r="502" spans="1:12" ht="15" customHeight="1" x14ac:dyDescent="0.2">
      <c r="A502" s="103" t="s">
        <v>13</v>
      </c>
      <c r="B502" s="198" t="s">
        <v>312</v>
      </c>
      <c r="C502" s="37" t="s">
        <v>313</v>
      </c>
      <c r="D502" s="103">
        <v>58</v>
      </c>
      <c r="E502" s="122">
        <v>3292644</v>
      </c>
      <c r="F502" s="122">
        <v>3008770</v>
      </c>
      <c r="G502" s="227" t="s">
        <v>457</v>
      </c>
      <c r="H502" s="122">
        <v>283874</v>
      </c>
      <c r="I502" s="199">
        <v>0</v>
      </c>
      <c r="J502" s="199">
        <v>0</v>
      </c>
      <c r="K502" s="199">
        <v>0</v>
      </c>
      <c r="L502" s="122">
        <v>283874</v>
      </c>
    </row>
    <row r="503" spans="1:12" ht="15" customHeight="1" x14ac:dyDescent="0.2">
      <c r="A503" s="103" t="s">
        <v>13</v>
      </c>
      <c r="B503" s="198" t="s">
        <v>289</v>
      </c>
      <c r="C503" s="37" t="s">
        <v>290</v>
      </c>
      <c r="D503" s="103">
        <v>308</v>
      </c>
      <c r="E503" s="122">
        <v>224162</v>
      </c>
      <c r="F503" s="122">
        <v>116098</v>
      </c>
      <c r="G503" s="227" t="s">
        <v>457</v>
      </c>
      <c r="H503" s="122">
        <v>108064</v>
      </c>
      <c r="I503" s="199">
        <v>0</v>
      </c>
      <c r="J503" s="199">
        <v>0</v>
      </c>
      <c r="K503" s="199">
        <v>0</v>
      </c>
      <c r="L503" s="122">
        <v>108064</v>
      </c>
    </row>
    <row r="504" spans="1:12" ht="15" customHeight="1" x14ac:dyDescent="0.2">
      <c r="A504" s="103" t="s">
        <v>13</v>
      </c>
      <c r="B504" s="198" t="s">
        <v>257</v>
      </c>
      <c r="C504" s="37" t="s">
        <v>239</v>
      </c>
      <c r="D504" s="103">
        <v>260</v>
      </c>
      <c r="E504" s="122">
        <v>19111083</v>
      </c>
      <c r="F504" s="122">
        <v>18993790</v>
      </c>
      <c r="G504" s="227" t="s">
        <v>457</v>
      </c>
      <c r="H504" s="122">
        <v>117293</v>
      </c>
      <c r="I504" s="122">
        <v>670053</v>
      </c>
      <c r="J504" s="122">
        <v>20116</v>
      </c>
      <c r="K504" s="122">
        <v>649937</v>
      </c>
      <c r="L504" s="122">
        <v>-532644</v>
      </c>
    </row>
    <row r="505" spans="1:12" ht="15" customHeight="1" x14ac:dyDescent="0.2">
      <c r="A505" s="103" t="s">
        <v>13</v>
      </c>
      <c r="B505" s="198" t="s">
        <v>271</v>
      </c>
      <c r="C505" s="37" t="s">
        <v>272</v>
      </c>
      <c r="D505" s="103">
        <v>346</v>
      </c>
      <c r="E505" s="122">
        <v>49140</v>
      </c>
      <c r="F505" s="122">
        <v>42386</v>
      </c>
      <c r="G505" s="227" t="s">
        <v>457</v>
      </c>
      <c r="H505" s="122">
        <v>6754</v>
      </c>
      <c r="I505" s="199">
        <v>0</v>
      </c>
      <c r="J505" s="199">
        <v>0</v>
      </c>
      <c r="K505" s="199">
        <v>0</v>
      </c>
      <c r="L505" s="122">
        <v>6754</v>
      </c>
    </row>
    <row r="506" spans="1:12" ht="15" customHeight="1" x14ac:dyDescent="0.2">
      <c r="A506" s="103" t="s">
        <v>13</v>
      </c>
      <c r="B506" s="198" t="s">
        <v>260</v>
      </c>
      <c r="C506" s="37" t="s">
        <v>261</v>
      </c>
      <c r="D506" s="103">
        <v>351</v>
      </c>
      <c r="E506" s="122">
        <v>99653</v>
      </c>
      <c r="F506" s="122">
        <v>89104</v>
      </c>
      <c r="G506" s="227" t="s">
        <v>457</v>
      </c>
      <c r="H506" s="122">
        <v>10549</v>
      </c>
      <c r="I506" s="199">
        <v>0</v>
      </c>
      <c r="J506" s="199">
        <v>0</v>
      </c>
      <c r="K506" s="199">
        <v>0</v>
      </c>
      <c r="L506" s="122">
        <v>10549</v>
      </c>
    </row>
    <row r="507" spans="1:12" ht="15" customHeight="1" x14ac:dyDescent="0.2">
      <c r="A507" s="206" t="s">
        <v>384</v>
      </c>
      <c r="B507" s="228" t="s">
        <v>457</v>
      </c>
      <c r="C507" s="228" t="s">
        <v>457</v>
      </c>
      <c r="D507" s="228" t="s">
        <v>457</v>
      </c>
      <c r="E507" s="117">
        <f>SUBTOTAL(109,school200910[Program
Costs])</f>
        <v>470276090</v>
      </c>
      <c r="F507" s="117">
        <f>SUBTOTAL(109,school200910[Less: Net
 Payments and 
Offsets 2])</f>
        <v>363490392</v>
      </c>
      <c r="G507" s="228" t="s">
        <v>457</v>
      </c>
      <c r="H507" s="117">
        <f>SUBTOTAL(109,school200910[Accounts Payable
Balance])</f>
        <v>106785698</v>
      </c>
      <c r="I507" s="117">
        <f>SUBTOTAL(109,school200910[Established
Accounts Receivable])</f>
        <v>740238</v>
      </c>
      <c r="J507" s="117">
        <f>SUBTOTAL(109,school200910[Less: 
Recovered 
Amount])</f>
        <v>33523</v>
      </c>
      <c r="K507" s="117">
        <f>SUBTOTAL(109,school200910[Accounts Receivable
Balance])</f>
        <v>706715</v>
      </c>
      <c r="L507" s="117">
        <f>SUBTOTAL(109,school200910[Net
Balance])</f>
        <v>106078983</v>
      </c>
    </row>
    <row r="508" spans="1:12" ht="15.75" customHeight="1" x14ac:dyDescent="0.2">
      <c r="A508" s="169" t="s">
        <v>463</v>
      </c>
      <c r="B508" s="198"/>
      <c r="C508" s="37"/>
      <c r="D508" s="103"/>
      <c r="E508" s="122"/>
      <c r="F508" s="122"/>
      <c r="G508" s="122"/>
      <c r="H508" s="122"/>
      <c r="I508" s="122"/>
      <c r="J508" s="122"/>
      <c r="K508" s="122"/>
      <c r="L508" s="122"/>
    </row>
    <row r="509" spans="1:12" ht="50.1" customHeight="1" x14ac:dyDescent="0.2">
      <c r="A509" s="40" t="s">
        <v>1</v>
      </c>
      <c r="B509" s="40" t="s">
        <v>15</v>
      </c>
      <c r="C509" s="40" t="s">
        <v>16</v>
      </c>
      <c r="D509" s="40" t="s">
        <v>454</v>
      </c>
      <c r="E509" s="230" t="s">
        <v>3</v>
      </c>
      <c r="F509" s="231" t="s">
        <v>592</v>
      </c>
      <c r="G509" s="232" t="s">
        <v>462</v>
      </c>
      <c r="H509" s="230" t="s">
        <v>461</v>
      </c>
      <c r="I509" s="197" t="s">
        <v>460</v>
      </c>
      <c r="J509" s="230" t="s">
        <v>459</v>
      </c>
      <c r="K509" s="230" t="s">
        <v>458</v>
      </c>
      <c r="L509" s="230" t="s">
        <v>17</v>
      </c>
    </row>
    <row r="510" spans="1:12" ht="15" customHeight="1" x14ac:dyDescent="0.2">
      <c r="A510" s="103" t="s">
        <v>120</v>
      </c>
      <c r="B510" s="198" t="s">
        <v>277</v>
      </c>
      <c r="C510" s="37" t="s">
        <v>278</v>
      </c>
      <c r="D510" s="103">
        <v>305</v>
      </c>
      <c r="E510" s="122">
        <v>125080</v>
      </c>
      <c r="F510" s="122">
        <v>102415</v>
      </c>
      <c r="G510" s="227" t="s">
        <v>457</v>
      </c>
      <c r="H510" s="122">
        <v>22665</v>
      </c>
      <c r="I510" s="199">
        <v>0</v>
      </c>
      <c r="J510" s="199">
        <v>0</v>
      </c>
      <c r="K510" s="199">
        <v>0</v>
      </c>
      <c r="L510" s="122">
        <v>22665</v>
      </c>
    </row>
    <row r="511" spans="1:12" ht="15" customHeight="1" x14ac:dyDescent="0.2">
      <c r="A511" s="103" t="s">
        <v>120</v>
      </c>
      <c r="B511" s="198" t="s">
        <v>217</v>
      </c>
      <c r="C511" s="37" t="s">
        <v>218</v>
      </c>
      <c r="D511" s="103">
        <v>250</v>
      </c>
      <c r="E511" s="122">
        <v>1583086</v>
      </c>
      <c r="F511" s="122">
        <v>1583086</v>
      </c>
      <c r="G511" s="227" t="s">
        <v>457</v>
      </c>
      <c r="H511" s="201">
        <v>0</v>
      </c>
      <c r="I511" s="122">
        <v>5161</v>
      </c>
      <c r="J511" s="122">
        <v>4112</v>
      </c>
      <c r="K511" s="122">
        <v>1049</v>
      </c>
      <c r="L511" s="122">
        <v>-1049</v>
      </c>
    </row>
    <row r="512" spans="1:12" ht="30" customHeight="1" x14ac:dyDescent="0.2">
      <c r="A512" s="103" t="s">
        <v>120</v>
      </c>
      <c r="B512" s="198" t="s">
        <v>300</v>
      </c>
      <c r="C512" s="37" t="s">
        <v>296</v>
      </c>
      <c r="D512" s="103">
        <v>348</v>
      </c>
      <c r="E512" s="122">
        <v>54920146</v>
      </c>
      <c r="F512" s="122">
        <v>44829887</v>
      </c>
      <c r="G512" s="227" t="s">
        <v>457</v>
      </c>
      <c r="H512" s="122">
        <v>10090259</v>
      </c>
      <c r="I512" s="199">
        <v>0</v>
      </c>
      <c r="J512" s="199">
        <v>0</v>
      </c>
      <c r="K512" s="199">
        <v>0</v>
      </c>
      <c r="L512" s="122">
        <v>10090259</v>
      </c>
    </row>
    <row r="513" spans="1:12" ht="15" customHeight="1" x14ac:dyDescent="0.2">
      <c r="A513" s="103" t="s">
        <v>120</v>
      </c>
      <c r="B513" s="198" t="s">
        <v>291</v>
      </c>
      <c r="C513" s="37" t="s">
        <v>79</v>
      </c>
      <c r="D513" s="103">
        <v>354</v>
      </c>
      <c r="E513" s="122">
        <v>34650</v>
      </c>
      <c r="F513" s="122">
        <v>24641</v>
      </c>
      <c r="G513" s="227" t="s">
        <v>457</v>
      </c>
      <c r="H513" s="122">
        <v>10009</v>
      </c>
      <c r="I513" s="199">
        <v>0</v>
      </c>
      <c r="J513" s="199">
        <v>0</v>
      </c>
      <c r="K513" s="199">
        <v>0</v>
      </c>
      <c r="L513" s="122">
        <v>10009</v>
      </c>
    </row>
    <row r="514" spans="1:12" ht="30" customHeight="1" x14ac:dyDescent="0.2">
      <c r="A514" s="103" t="s">
        <v>120</v>
      </c>
      <c r="B514" s="198" t="s">
        <v>215</v>
      </c>
      <c r="C514" s="37" t="s">
        <v>216</v>
      </c>
      <c r="D514" s="103">
        <v>286</v>
      </c>
      <c r="E514" s="122">
        <v>103369</v>
      </c>
      <c r="F514" s="122">
        <v>99494</v>
      </c>
      <c r="G514" s="227" t="s">
        <v>457</v>
      </c>
      <c r="H514" s="122">
        <v>3875</v>
      </c>
      <c r="I514" s="199">
        <v>0</v>
      </c>
      <c r="J514" s="199">
        <v>0</v>
      </c>
      <c r="K514" s="199">
        <v>0</v>
      </c>
      <c r="L514" s="122">
        <v>3875</v>
      </c>
    </row>
    <row r="515" spans="1:12" ht="30" customHeight="1" x14ac:dyDescent="0.2">
      <c r="A515" s="103" t="s">
        <v>120</v>
      </c>
      <c r="B515" s="198" t="s">
        <v>221</v>
      </c>
      <c r="C515" s="37" t="s">
        <v>222</v>
      </c>
      <c r="D515" s="103">
        <v>172</v>
      </c>
      <c r="E515" s="122">
        <v>614283</v>
      </c>
      <c r="F515" s="122">
        <v>610927</v>
      </c>
      <c r="G515" s="227" t="s">
        <v>457</v>
      </c>
      <c r="H515" s="122">
        <v>3356</v>
      </c>
      <c r="I515" s="122">
        <v>1120</v>
      </c>
      <c r="J515" s="122">
        <v>1120</v>
      </c>
      <c r="K515" s="199">
        <v>0</v>
      </c>
      <c r="L515" s="122">
        <v>3356</v>
      </c>
    </row>
    <row r="516" spans="1:12" ht="15" customHeight="1" x14ac:dyDescent="0.2">
      <c r="A516" s="103" t="s">
        <v>120</v>
      </c>
      <c r="B516" s="198" t="s">
        <v>273</v>
      </c>
      <c r="C516" s="37" t="s">
        <v>274</v>
      </c>
      <c r="D516" s="103">
        <v>278</v>
      </c>
      <c r="E516" s="122">
        <v>1771291</v>
      </c>
      <c r="F516" s="122">
        <v>1699854</v>
      </c>
      <c r="G516" s="227" t="s">
        <v>457</v>
      </c>
      <c r="H516" s="122">
        <v>71437</v>
      </c>
      <c r="I516" s="199">
        <v>0</v>
      </c>
      <c r="J516" s="199">
        <v>0</v>
      </c>
      <c r="K516" s="199">
        <v>0</v>
      </c>
      <c r="L516" s="122">
        <v>71437</v>
      </c>
    </row>
    <row r="517" spans="1:12" ht="30" customHeight="1" x14ac:dyDescent="0.2">
      <c r="A517" s="103" t="s">
        <v>120</v>
      </c>
      <c r="B517" s="198" t="s">
        <v>195</v>
      </c>
      <c r="C517" s="37" t="s">
        <v>196</v>
      </c>
      <c r="D517" s="103">
        <v>11</v>
      </c>
      <c r="E517" s="122">
        <v>20470340</v>
      </c>
      <c r="F517" s="122">
        <v>17977474</v>
      </c>
      <c r="G517" s="227" t="s">
        <v>457</v>
      </c>
      <c r="H517" s="122">
        <v>2492866</v>
      </c>
      <c r="I517" s="122">
        <v>26683</v>
      </c>
      <c r="J517" s="122">
        <v>12350</v>
      </c>
      <c r="K517" s="122">
        <v>14333</v>
      </c>
      <c r="L517" s="122">
        <v>2478533</v>
      </c>
    </row>
    <row r="518" spans="1:12" ht="15" customHeight="1" x14ac:dyDescent="0.2">
      <c r="A518" s="103" t="s">
        <v>120</v>
      </c>
      <c r="B518" s="198" t="s">
        <v>316</v>
      </c>
      <c r="C518" s="37" t="s">
        <v>224</v>
      </c>
      <c r="D518" s="103">
        <v>223</v>
      </c>
      <c r="E518" s="122">
        <v>4144990</v>
      </c>
      <c r="F518" s="122">
        <v>4098250</v>
      </c>
      <c r="G518" s="227" t="s">
        <v>457</v>
      </c>
      <c r="H518" s="122">
        <v>46740</v>
      </c>
      <c r="I518" s="122">
        <v>7808</v>
      </c>
      <c r="J518" s="122">
        <v>5918</v>
      </c>
      <c r="K518" s="122">
        <v>1890</v>
      </c>
      <c r="L518" s="122">
        <v>44850</v>
      </c>
    </row>
    <row r="519" spans="1:12" ht="30" customHeight="1" x14ac:dyDescent="0.2">
      <c r="A519" s="103" t="s">
        <v>120</v>
      </c>
      <c r="B519" s="198" t="s">
        <v>227</v>
      </c>
      <c r="C519" s="37" t="s">
        <v>228</v>
      </c>
      <c r="D519" s="103">
        <v>272</v>
      </c>
      <c r="E519" s="122">
        <v>10105872</v>
      </c>
      <c r="F519" s="122">
        <v>10100035</v>
      </c>
      <c r="G519" s="227" t="s">
        <v>457</v>
      </c>
      <c r="H519" s="122">
        <v>5837</v>
      </c>
      <c r="I519" s="122">
        <v>865406</v>
      </c>
      <c r="J519" s="122">
        <v>11587</v>
      </c>
      <c r="K519" s="122">
        <v>853819</v>
      </c>
      <c r="L519" s="122">
        <v>-847982</v>
      </c>
    </row>
    <row r="520" spans="1:12" ht="15" customHeight="1" x14ac:dyDescent="0.2">
      <c r="A520" s="103" t="s">
        <v>120</v>
      </c>
      <c r="B520" s="198" t="s">
        <v>229</v>
      </c>
      <c r="C520" s="37" t="s">
        <v>230</v>
      </c>
      <c r="D520" s="103">
        <v>276</v>
      </c>
      <c r="E520" s="122">
        <v>891533</v>
      </c>
      <c r="F520" s="122">
        <v>649528</v>
      </c>
      <c r="G520" s="227" t="s">
        <v>457</v>
      </c>
      <c r="H520" s="122">
        <v>242005</v>
      </c>
      <c r="I520" s="199">
        <v>0</v>
      </c>
      <c r="J520" s="199">
        <v>0</v>
      </c>
      <c r="K520" s="199">
        <v>0</v>
      </c>
      <c r="L520" s="122">
        <v>242005</v>
      </c>
    </row>
    <row r="521" spans="1:12" ht="60" x14ac:dyDescent="0.2">
      <c r="A521" s="103" t="s">
        <v>120</v>
      </c>
      <c r="B521" s="198" t="s">
        <v>231</v>
      </c>
      <c r="C521" s="37" t="s">
        <v>232</v>
      </c>
      <c r="D521" s="103">
        <v>292</v>
      </c>
      <c r="E521" s="122">
        <v>8511879</v>
      </c>
      <c r="F521" s="122">
        <v>8403076</v>
      </c>
      <c r="G521" s="227" t="s">
        <v>457</v>
      </c>
      <c r="H521" s="122">
        <v>108803</v>
      </c>
      <c r="I521" s="122">
        <v>2076</v>
      </c>
      <c r="J521" s="199">
        <v>0</v>
      </c>
      <c r="K521" s="122">
        <v>2076</v>
      </c>
      <c r="L521" s="122">
        <v>106727</v>
      </c>
    </row>
    <row r="522" spans="1:12" ht="30" customHeight="1" x14ac:dyDescent="0.2">
      <c r="A522" s="103" t="s">
        <v>120</v>
      </c>
      <c r="B522" s="198" t="s">
        <v>233</v>
      </c>
      <c r="C522" s="37" t="s">
        <v>234</v>
      </c>
      <c r="D522" s="103">
        <v>209</v>
      </c>
      <c r="E522" s="122">
        <v>346268</v>
      </c>
      <c r="F522" s="122">
        <v>326021</v>
      </c>
      <c r="G522" s="227" t="s">
        <v>457</v>
      </c>
      <c r="H522" s="122">
        <v>20247</v>
      </c>
      <c r="I522" s="199">
        <v>0</v>
      </c>
      <c r="J522" s="199">
        <v>0</v>
      </c>
      <c r="K522" s="199">
        <v>0</v>
      </c>
      <c r="L522" s="122">
        <v>20247</v>
      </c>
    </row>
    <row r="523" spans="1:12" ht="15" customHeight="1" x14ac:dyDescent="0.2">
      <c r="A523" s="103" t="s">
        <v>120</v>
      </c>
      <c r="B523" s="198" t="s">
        <v>235</v>
      </c>
      <c r="C523" s="37" t="s">
        <v>236</v>
      </c>
      <c r="D523" s="103">
        <v>183</v>
      </c>
      <c r="E523" s="122">
        <v>697267</v>
      </c>
      <c r="F523" s="122">
        <v>693095</v>
      </c>
      <c r="G523" s="227" t="s">
        <v>457</v>
      </c>
      <c r="H523" s="122">
        <v>4172</v>
      </c>
      <c r="I523" s="122">
        <v>825</v>
      </c>
      <c r="J523" s="122">
        <v>825</v>
      </c>
      <c r="K523" s="199">
        <v>0</v>
      </c>
      <c r="L523" s="122">
        <v>4172</v>
      </c>
    </row>
    <row r="524" spans="1:12" ht="15" customHeight="1" x14ac:dyDescent="0.2">
      <c r="A524" s="103" t="s">
        <v>120</v>
      </c>
      <c r="B524" s="198" t="s">
        <v>264</v>
      </c>
      <c r="C524" s="37" t="s">
        <v>265</v>
      </c>
      <c r="D524" s="103">
        <v>251</v>
      </c>
      <c r="E524" s="122">
        <v>371430</v>
      </c>
      <c r="F524" s="122">
        <v>365323</v>
      </c>
      <c r="G524" s="227" t="s">
        <v>457</v>
      </c>
      <c r="H524" s="122">
        <v>6107</v>
      </c>
      <c r="I524" s="122">
        <v>1055</v>
      </c>
      <c r="J524" s="199">
        <v>0</v>
      </c>
      <c r="K524" s="122">
        <v>1055</v>
      </c>
      <c r="L524" s="122">
        <v>5052</v>
      </c>
    </row>
    <row r="525" spans="1:12" ht="15" customHeight="1" x14ac:dyDescent="0.2">
      <c r="A525" s="103" t="s">
        <v>120</v>
      </c>
      <c r="B525" s="198" t="s">
        <v>306</v>
      </c>
      <c r="C525" s="37" t="s">
        <v>307</v>
      </c>
      <c r="D525" s="103">
        <v>333</v>
      </c>
      <c r="E525" s="122">
        <v>34380</v>
      </c>
      <c r="F525" s="122">
        <v>31472</v>
      </c>
      <c r="G525" s="227" t="s">
        <v>457</v>
      </c>
      <c r="H525" s="122">
        <v>2908</v>
      </c>
      <c r="I525" s="199">
        <v>0</v>
      </c>
      <c r="J525" s="199">
        <v>0</v>
      </c>
      <c r="K525" s="199">
        <v>0</v>
      </c>
      <c r="L525" s="122">
        <v>2908</v>
      </c>
    </row>
    <row r="526" spans="1:12" ht="15" customHeight="1" x14ac:dyDescent="0.2">
      <c r="A526" s="103" t="s">
        <v>120</v>
      </c>
      <c r="B526" s="198" t="s">
        <v>281</v>
      </c>
      <c r="C526" s="37" t="s">
        <v>226</v>
      </c>
      <c r="D526" s="103">
        <v>91</v>
      </c>
      <c r="E526" s="122">
        <v>13929</v>
      </c>
      <c r="F526" s="122">
        <v>10640</v>
      </c>
      <c r="G526" s="227" t="s">
        <v>457</v>
      </c>
      <c r="H526" s="122">
        <v>3289</v>
      </c>
      <c r="I526" s="199">
        <v>0</v>
      </c>
      <c r="J526" s="199">
        <v>0</v>
      </c>
      <c r="K526" s="199">
        <v>0</v>
      </c>
      <c r="L526" s="122">
        <v>3289</v>
      </c>
    </row>
    <row r="527" spans="1:12" ht="15" customHeight="1" x14ac:dyDescent="0.2">
      <c r="A527" s="103" t="s">
        <v>120</v>
      </c>
      <c r="B527" s="198" t="s">
        <v>237</v>
      </c>
      <c r="C527" s="37" t="s">
        <v>208</v>
      </c>
      <c r="D527" s="103">
        <v>192</v>
      </c>
      <c r="E527" s="122">
        <v>441304</v>
      </c>
      <c r="F527" s="122">
        <v>432014</v>
      </c>
      <c r="G527" s="227" t="s">
        <v>457</v>
      </c>
      <c r="H527" s="122">
        <v>9290</v>
      </c>
      <c r="I527" s="122">
        <v>2175</v>
      </c>
      <c r="J527" s="199">
        <v>0</v>
      </c>
      <c r="K527" s="122">
        <v>2175</v>
      </c>
      <c r="L527" s="122">
        <v>7115</v>
      </c>
    </row>
    <row r="528" spans="1:12" ht="15" customHeight="1" x14ac:dyDescent="0.2">
      <c r="A528" s="103" t="s">
        <v>120</v>
      </c>
      <c r="B528" s="198" t="s">
        <v>238</v>
      </c>
      <c r="C528" s="37" t="s">
        <v>239</v>
      </c>
      <c r="D528" s="103">
        <v>297</v>
      </c>
      <c r="E528" s="122">
        <v>257106709</v>
      </c>
      <c r="F528" s="122">
        <v>181188759</v>
      </c>
      <c r="G528" s="227" t="s">
        <v>457</v>
      </c>
      <c r="H528" s="122">
        <v>75917950</v>
      </c>
      <c r="I528" s="199">
        <v>0</v>
      </c>
      <c r="J528" s="199">
        <v>0</v>
      </c>
      <c r="K528" s="199">
        <v>0</v>
      </c>
      <c r="L528" s="122">
        <v>75917950</v>
      </c>
    </row>
    <row r="529" spans="1:12" ht="15" customHeight="1" x14ac:dyDescent="0.2">
      <c r="A529" s="103" t="s">
        <v>120</v>
      </c>
      <c r="B529" s="198" t="s">
        <v>240</v>
      </c>
      <c r="C529" s="37" t="s">
        <v>241</v>
      </c>
      <c r="D529" s="103">
        <v>166</v>
      </c>
      <c r="E529" s="122">
        <v>8654726</v>
      </c>
      <c r="F529" s="122">
        <v>7222351</v>
      </c>
      <c r="G529" s="227" t="s">
        <v>457</v>
      </c>
      <c r="H529" s="122">
        <v>1432375</v>
      </c>
      <c r="I529" s="122">
        <v>1233</v>
      </c>
      <c r="J529" s="199">
        <v>0</v>
      </c>
      <c r="K529" s="122">
        <v>1233</v>
      </c>
      <c r="L529" s="122">
        <v>1431142</v>
      </c>
    </row>
    <row r="530" spans="1:12" ht="15" customHeight="1" x14ac:dyDescent="0.2">
      <c r="A530" s="103" t="s">
        <v>120</v>
      </c>
      <c r="B530" s="198" t="s">
        <v>282</v>
      </c>
      <c r="C530" s="37" t="s">
        <v>283</v>
      </c>
      <c r="D530" s="103">
        <v>268</v>
      </c>
      <c r="E530" s="122">
        <v>7741343</v>
      </c>
      <c r="F530" s="122">
        <v>6923752</v>
      </c>
      <c r="G530" s="227" t="s">
        <v>457</v>
      </c>
      <c r="H530" s="122">
        <v>817591</v>
      </c>
      <c r="I530" s="199">
        <v>0</v>
      </c>
      <c r="J530" s="199">
        <v>0</v>
      </c>
      <c r="K530" s="199">
        <v>0</v>
      </c>
      <c r="L530" s="122">
        <v>817591</v>
      </c>
    </row>
    <row r="531" spans="1:12" ht="15" customHeight="1" x14ac:dyDescent="0.2">
      <c r="A531" s="103" t="s">
        <v>120</v>
      </c>
      <c r="B531" s="198" t="s">
        <v>242</v>
      </c>
      <c r="C531" s="37" t="s">
        <v>243</v>
      </c>
      <c r="D531" s="103">
        <v>32</v>
      </c>
      <c r="E531" s="122">
        <v>4666144</v>
      </c>
      <c r="F531" s="122">
        <v>4664857</v>
      </c>
      <c r="G531" s="227" t="s">
        <v>457</v>
      </c>
      <c r="H531" s="122">
        <v>1287</v>
      </c>
      <c r="I531" s="122">
        <v>15736</v>
      </c>
      <c r="J531" s="122">
        <v>1126</v>
      </c>
      <c r="K531" s="122">
        <v>14610</v>
      </c>
      <c r="L531" s="122">
        <v>-13323</v>
      </c>
    </row>
    <row r="532" spans="1:12" ht="15" customHeight="1" x14ac:dyDescent="0.2">
      <c r="A532" s="103" t="s">
        <v>120</v>
      </c>
      <c r="B532" s="198" t="s">
        <v>297</v>
      </c>
      <c r="C532" s="37" t="s">
        <v>245</v>
      </c>
      <c r="D532" s="103">
        <v>230</v>
      </c>
      <c r="E532" s="122">
        <v>5705041</v>
      </c>
      <c r="F532" s="122">
        <v>5704156</v>
      </c>
      <c r="G532" s="227" t="s">
        <v>457</v>
      </c>
      <c r="H532" s="122">
        <v>885</v>
      </c>
      <c r="I532" s="122">
        <v>18091</v>
      </c>
      <c r="J532" s="122">
        <v>3366</v>
      </c>
      <c r="K532" s="122">
        <v>14725</v>
      </c>
      <c r="L532" s="122">
        <v>-13840</v>
      </c>
    </row>
    <row r="533" spans="1:12" ht="15" customHeight="1" x14ac:dyDescent="0.2">
      <c r="A533" s="103" t="s">
        <v>120</v>
      </c>
      <c r="B533" s="198" t="s">
        <v>284</v>
      </c>
      <c r="C533" s="37" t="s">
        <v>285</v>
      </c>
      <c r="D533" s="103">
        <v>148</v>
      </c>
      <c r="E533" s="122">
        <v>121053</v>
      </c>
      <c r="F533" s="122">
        <v>5779</v>
      </c>
      <c r="G533" s="227" t="s">
        <v>457</v>
      </c>
      <c r="H533" s="122">
        <v>115274</v>
      </c>
      <c r="I533" s="199">
        <v>0</v>
      </c>
      <c r="J533" s="199">
        <v>0</v>
      </c>
      <c r="K533" s="199">
        <v>0</v>
      </c>
      <c r="L533" s="122">
        <v>115274</v>
      </c>
    </row>
    <row r="534" spans="1:12" ht="15" customHeight="1" x14ac:dyDescent="0.2">
      <c r="A534" s="103" t="s">
        <v>120</v>
      </c>
      <c r="B534" s="198" t="s">
        <v>248</v>
      </c>
      <c r="C534" s="37" t="s">
        <v>249</v>
      </c>
      <c r="D534" s="103">
        <v>153</v>
      </c>
      <c r="E534" s="122">
        <v>4435775</v>
      </c>
      <c r="F534" s="122">
        <v>4210760</v>
      </c>
      <c r="G534" s="227" t="s">
        <v>457</v>
      </c>
      <c r="H534" s="122">
        <v>225015</v>
      </c>
      <c r="I534" s="122">
        <v>12323</v>
      </c>
      <c r="J534" s="122">
        <v>8157</v>
      </c>
      <c r="K534" s="122">
        <v>4166</v>
      </c>
      <c r="L534" s="122">
        <v>220849</v>
      </c>
    </row>
    <row r="535" spans="1:12" ht="15" customHeight="1" x14ac:dyDescent="0.2">
      <c r="A535" s="103" t="s">
        <v>120</v>
      </c>
      <c r="B535" s="198" t="s">
        <v>266</v>
      </c>
      <c r="C535" s="37" t="s">
        <v>267</v>
      </c>
      <c r="D535" s="103">
        <v>155</v>
      </c>
      <c r="E535" s="122">
        <v>1256537</v>
      </c>
      <c r="F535" s="122">
        <v>1159096</v>
      </c>
      <c r="G535" s="227" t="s">
        <v>457</v>
      </c>
      <c r="H535" s="122">
        <v>97441</v>
      </c>
      <c r="I535" s="199">
        <v>0</v>
      </c>
      <c r="J535" s="199">
        <v>0</v>
      </c>
      <c r="K535" s="199">
        <v>0</v>
      </c>
      <c r="L535" s="122">
        <v>97441</v>
      </c>
    </row>
    <row r="536" spans="1:12" ht="15" customHeight="1" x14ac:dyDescent="0.2">
      <c r="A536" s="103" t="s">
        <v>120</v>
      </c>
      <c r="B536" s="198" t="s">
        <v>82</v>
      </c>
      <c r="C536" s="37" t="s">
        <v>83</v>
      </c>
      <c r="D536" s="103">
        <v>42</v>
      </c>
      <c r="E536" s="122">
        <v>16990141</v>
      </c>
      <c r="F536" s="122">
        <v>14707605</v>
      </c>
      <c r="G536" s="227" t="s">
        <v>457</v>
      </c>
      <c r="H536" s="122">
        <v>2282536</v>
      </c>
      <c r="I536" s="199">
        <v>0</v>
      </c>
      <c r="J536" s="199">
        <v>0</v>
      </c>
      <c r="K536" s="199">
        <v>0</v>
      </c>
      <c r="L536" s="122">
        <v>2282536</v>
      </c>
    </row>
    <row r="537" spans="1:12" ht="45" x14ac:dyDescent="0.2">
      <c r="A537" s="103" t="s">
        <v>120</v>
      </c>
      <c r="B537" s="198" t="s">
        <v>317</v>
      </c>
      <c r="C537" s="37" t="s">
        <v>318</v>
      </c>
      <c r="D537" s="103">
        <v>265</v>
      </c>
      <c r="E537" s="122">
        <v>65051</v>
      </c>
      <c r="F537" s="122">
        <v>63255</v>
      </c>
      <c r="G537" s="227" t="s">
        <v>457</v>
      </c>
      <c r="H537" s="122">
        <v>1796</v>
      </c>
      <c r="I537" s="199">
        <v>0</v>
      </c>
      <c r="J537" s="199">
        <v>0</v>
      </c>
      <c r="K537" s="199">
        <v>0</v>
      </c>
      <c r="L537" s="122">
        <v>1796</v>
      </c>
    </row>
    <row r="538" spans="1:12" ht="15" customHeight="1" x14ac:dyDescent="0.2">
      <c r="A538" s="103" t="s">
        <v>120</v>
      </c>
      <c r="B538" s="198" t="s">
        <v>250</v>
      </c>
      <c r="C538" s="37" t="s">
        <v>239</v>
      </c>
      <c r="D538" s="103">
        <v>48</v>
      </c>
      <c r="E538" s="122">
        <v>17377719</v>
      </c>
      <c r="F538" s="122">
        <v>15811250</v>
      </c>
      <c r="G538" s="227" t="s">
        <v>457</v>
      </c>
      <c r="H538" s="122">
        <v>1566469</v>
      </c>
      <c r="I538" s="122">
        <v>1150</v>
      </c>
      <c r="J538" s="199">
        <v>0</v>
      </c>
      <c r="K538" s="122">
        <v>1150</v>
      </c>
      <c r="L538" s="122">
        <v>1565319</v>
      </c>
    </row>
    <row r="539" spans="1:12" ht="15" customHeight="1" x14ac:dyDescent="0.2">
      <c r="A539" s="103" t="s">
        <v>120</v>
      </c>
      <c r="B539" s="198" t="s">
        <v>71</v>
      </c>
      <c r="C539" s="37" t="s">
        <v>72</v>
      </c>
      <c r="D539" s="103">
        <v>218</v>
      </c>
      <c r="E539" s="122">
        <v>3808780</v>
      </c>
      <c r="F539" s="122">
        <v>3065621</v>
      </c>
      <c r="G539" s="227" t="s">
        <v>457</v>
      </c>
      <c r="H539" s="122">
        <v>743159</v>
      </c>
      <c r="I539" s="199">
        <v>0</v>
      </c>
      <c r="J539" s="199">
        <v>0</v>
      </c>
      <c r="K539" s="199">
        <v>0</v>
      </c>
      <c r="L539" s="122">
        <v>743159</v>
      </c>
    </row>
    <row r="540" spans="1:12" ht="15" customHeight="1" x14ac:dyDescent="0.2">
      <c r="A540" s="103" t="s">
        <v>120</v>
      </c>
      <c r="B540" s="198" t="s">
        <v>251</v>
      </c>
      <c r="C540" s="37" t="s">
        <v>252</v>
      </c>
      <c r="D540" s="103">
        <v>350</v>
      </c>
      <c r="E540" s="122">
        <v>59562</v>
      </c>
      <c r="F540" s="122">
        <v>51005</v>
      </c>
      <c r="G540" s="227" t="s">
        <v>457</v>
      </c>
      <c r="H540" s="122">
        <v>8557</v>
      </c>
      <c r="I540" s="199">
        <v>0</v>
      </c>
      <c r="J540" s="199">
        <v>0</v>
      </c>
      <c r="K540" s="199">
        <v>0</v>
      </c>
      <c r="L540" s="122">
        <v>8557</v>
      </c>
    </row>
    <row r="541" spans="1:12" ht="15" customHeight="1" x14ac:dyDescent="0.2">
      <c r="A541" s="103" t="s">
        <v>120</v>
      </c>
      <c r="B541" s="198" t="s">
        <v>268</v>
      </c>
      <c r="C541" s="37" t="s">
        <v>269</v>
      </c>
      <c r="D541" s="103">
        <v>173</v>
      </c>
      <c r="E541" s="122">
        <v>1816992</v>
      </c>
      <c r="F541" s="122">
        <v>1816992</v>
      </c>
      <c r="G541" s="227" t="s">
        <v>457</v>
      </c>
      <c r="H541" s="199">
        <v>0</v>
      </c>
      <c r="I541" s="122">
        <v>4260</v>
      </c>
      <c r="J541" s="122">
        <v>1109</v>
      </c>
      <c r="K541" s="122">
        <v>3151</v>
      </c>
      <c r="L541" s="122">
        <v>-3151</v>
      </c>
    </row>
    <row r="542" spans="1:12" ht="15" customHeight="1" x14ac:dyDescent="0.2">
      <c r="A542" s="103" t="s">
        <v>120</v>
      </c>
      <c r="B542" s="198" t="s">
        <v>298</v>
      </c>
      <c r="C542" s="37" t="s">
        <v>299</v>
      </c>
      <c r="D542" s="103">
        <v>335</v>
      </c>
      <c r="E542" s="122">
        <v>33394</v>
      </c>
      <c r="F542" s="122">
        <v>32132</v>
      </c>
      <c r="G542" s="227" t="s">
        <v>457</v>
      </c>
      <c r="H542" s="122">
        <v>1262</v>
      </c>
      <c r="I542" s="199">
        <v>0</v>
      </c>
      <c r="J542" s="199">
        <v>0</v>
      </c>
      <c r="K542" s="199">
        <v>0</v>
      </c>
      <c r="L542" s="122">
        <v>1262</v>
      </c>
    </row>
    <row r="543" spans="1:12" ht="15" customHeight="1" x14ac:dyDescent="0.2">
      <c r="A543" s="103" t="s">
        <v>120</v>
      </c>
      <c r="B543" s="198" t="s">
        <v>303</v>
      </c>
      <c r="C543" s="37" t="s">
        <v>304</v>
      </c>
      <c r="D543" s="103">
        <v>329</v>
      </c>
      <c r="E543" s="122">
        <v>1430358</v>
      </c>
      <c r="F543" s="122">
        <v>1149030</v>
      </c>
      <c r="G543" s="227" t="s">
        <v>457</v>
      </c>
      <c r="H543" s="122">
        <v>281328</v>
      </c>
      <c r="I543" s="199">
        <v>0</v>
      </c>
      <c r="J543" s="199">
        <v>0</v>
      </c>
      <c r="K543" s="199">
        <v>0</v>
      </c>
      <c r="L543" s="122">
        <v>281328</v>
      </c>
    </row>
    <row r="544" spans="1:12" ht="15" customHeight="1" x14ac:dyDescent="0.2">
      <c r="A544" s="103" t="s">
        <v>120</v>
      </c>
      <c r="B544" s="198" t="s">
        <v>275</v>
      </c>
      <c r="C544" s="37" t="s">
        <v>276</v>
      </c>
      <c r="D544" s="103">
        <v>261</v>
      </c>
      <c r="E544" s="122">
        <v>927647</v>
      </c>
      <c r="F544" s="122">
        <v>917209</v>
      </c>
      <c r="G544" s="227" t="s">
        <v>457</v>
      </c>
      <c r="H544" s="122">
        <v>10438</v>
      </c>
      <c r="I544" s="122">
        <v>12411</v>
      </c>
      <c r="J544" s="122">
        <v>10089</v>
      </c>
      <c r="K544" s="122">
        <v>2322</v>
      </c>
      <c r="L544" s="122">
        <v>8116</v>
      </c>
    </row>
    <row r="545" spans="1:12" ht="15" customHeight="1" x14ac:dyDescent="0.2">
      <c r="A545" s="103" t="s">
        <v>120</v>
      </c>
      <c r="B545" s="198" t="s">
        <v>270</v>
      </c>
      <c r="C545" s="37" t="s">
        <v>256</v>
      </c>
      <c r="D545" s="103">
        <v>244</v>
      </c>
      <c r="E545" s="122">
        <v>3164646</v>
      </c>
      <c r="F545" s="122">
        <v>3131852</v>
      </c>
      <c r="G545" s="227" t="s">
        <v>457</v>
      </c>
      <c r="H545" s="122">
        <v>32794</v>
      </c>
      <c r="I545" s="122">
        <v>471</v>
      </c>
      <c r="J545" s="122">
        <v>471</v>
      </c>
      <c r="K545" s="199">
        <v>0</v>
      </c>
      <c r="L545" s="122">
        <v>32794</v>
      </c>
    </row>
    <row r="546" spans="1:12" s="229" customFormat="1" ht="15" customHeight="1" x14ac:dyDescent="0.2">
      <c r="A546" s="103" t="s">
        <v>120</v>
      </c>
      <c r="B546" s="198" t="s">
        <v>314</v>
      </c>
      <c r="C546" s="37" t="s">
        <v>315</v>
      </c>
      <c r="D546" s="103">
        <v>182</v>
      </c>
      <c r="E546" s="122">
        <v>109517</v>
      </c>
      <c r="F546" s="122">
        <v>107006</v>
      </c>
      <c r="G546" s="227" t="s">
        <v>457</v>
      </c>
      <c r="H546" s="122">
        <v>2511</v>
      </c>
      <c r="I546" s="199">
        <v>0</v>
      </c>
      <c r="J546" s="199">
        <v>0</v>
      </c>
      <c r="K546" s="199">
        <v>0</v>
      </c>
      <c r="L546" s="122">
        <v>2511</v>
      </c>
    </row>
    <row r="547" spans="1:12" ht="15" customHeight="1" x14ac:dyDescent="0.2">
      <c r="A547" s="103" t="s">
        <v>120</v>
      </c>
      <c r="B547" s="198" t="s">
        <v>286</v>
      </c>
      <c r="C547" s="37" t="s">
        <v>239</v>
      </c>
      <c r="D547" s="103">
        <v>280</v>
      </c>
      <c r="E547" s="122">
        <v>87954</v>
      </c>
      <c r="F547" s="122">
        <v>82480</v>
      </c>
      <c r="G547" s="227" t="s">
        <v>457</v>
      </c>
      <c r="H547" s="122">
        <v>5474</v>
      </c>
      <c r="I547" s="199">
        <v>0</v>
      </c>
      <c r="J547" s="199">
        <v>0</v>
      </c>
      <c r="K547" s="199">
        <v>0</v>
      </c>
      <c r="L547" s="122">
        <v>5474</v>
      </c>
    </row>
    <row r="548" spans="1:12" ht="15" customHeight="1" x14ac:dyDescent="0.2">
      <c r="A548" s="103" t="s">
        <v>120</v>
      </c>
      <c r="B548" s="198" t="s">
        <v>305</v>
      </c>
      <c r="C548" s="37" t="s">
        <v>226</v>
      </c>
      <c r="D548" s="103">
        <v>176</v>
      </c>
      <c r="E548" s="122">
        <v>6362242</v>
      </c>
      <c r="F548" s="122">
        <v>6209882</v>
      </c>
      <c r="G548" s="227" t="s">
        <v>457</v>
      </c>
      <c r="H548" s="122">
        <v>152360</v>
      </c>
      <c r="I548" s="122">
        <v>203356</v>
      </c>
      <c r="J548" s="122">
        <v>203356</v>
      </c>
      <c r="K548" s="199">
        <v>0</v>
      </c>
      <c r="L548" s="122">
        <v>152360</v>
      </c>
    </row>
    <row r="549" spans="1:12" ht="15" customHeight="1" x14ac:dyDescent="0.2">
      <c r="A549" s="103" t="s">
        <v>120</v>
      </c>
      <c r="B549" s="198" t="s">
        <v>310</v>
      </c>
      <c r="C549" s="37" t="s">
        <v>311</v>
      </c>
      <c r="D549" s="103">
        <v>57</v>
      </c>
      <c r="E549" s="122">
        <v>1148847</v>
      </c>
      <c r="F549" s="122">
        <v>892434</v>
      </c>
      <c r="G549" s="227" t="s">
        <v>457</v>
      </c>
      <c r="H549" s="122">
        <v>256413</v>
      </c>
      <c r="I549" s="199">
        <v>0</v>
      </c>
      <c r="J549" s="199">
        <v>0</v>
      </c>
      <c r="K549" s="199">
        <v>0</v>
      </c>
      <c r="L549" s="122">
        <v>256413</v>
      </c>
    </row>
    <row r="550" spans="1:12" ht="15" customHeight="1" x14ac:dyDescent="0.2">
      <c r="A550" s="103" t="s">
        <v>120</v>
      </c>
      <c r="B550" s="198" t="s">
        <v>253</v>
      </c>
      <c r="C550" s="37" t="s">
        <v>254</v>
      </c>
      <c r="D550" s="103">
        <v>171</v>
      </c>
      <c r="E550" s="122">
        <v>2152382</v>
      </c>
      <c r="F550" s="122">
        <v>1909924</v>
      </c>
      <c r="G550" s="227" t="s">
        <v>457</v>
      </c>
      <c r="H550" s="122">
        <v>242458</v>
      </c>
      <c r="I550" s="199">
        <v>0</v>
      </c>
      <c r="J550" s="199">
        <v>0</v>
      </c>
      <c r="K550" s="199">
        <v>0</v>
      </c>
      <c r="L550" s="122">
        <v>242458</v>
      </c>
    </row>
    <row r="551" spans="1:12" ht="15" customHeight="1" x14ac:dyDescent="0.2">
      <c r="A551" s="103" t="s">
        <v>120</v>
      </c>
      <c r="B551" s="198" t="s">
        <v>255</v>
      </c>
      <c r="C551" s="37" t="s">
        <v>256</v>
      </c>
      <c r="D551" s="103">
        <v>258</v>
      </c>
      <c r="E551" s="122">
        <v>3369668</v>
      </c>
      <c r="F551" s="122">
        <v>2647678</v>
      </c>
      <c r="G551" s="227" t="s">
        <v>457</v>
      </c>
      <c r="H551" s="122">
        <v>721990</v>
      </c>
      <c r="I551" s="199">
        <v>0</v>
      </c>
      <c r="J551" s="199">
        <v>0</v>
      </c>
      <c r="K551" s="199">
        <v>0</v>
      </c>
      <c r="L551" s="122">
        <v>721990</v>
      </c>
    </row>
    <row r="552" spans="1:12" ht="15" customHeight="1" x14ac:dyDescent="0.2">
      <c r="A552" s="103" t="s">
        <v>120</v>
      </c>
      <c r="B552" s="198" t="s">
        <v>312</v>
      </c>
      <c r="C552" s="37" t="s">
        <v>313</v>
      </c>
      <c r="D552" s="103">
        <v>58</v>
      </c>
      <c r="E552" s="122">
        <v>3305227</v>
      </c>
      <c r="F552" s="122">
        <v>3224482</v>
      </c>
      <c r="G552" s="227" t="s">
        <v>457</v>
      </c>
      <c r="H552" s="122">
        <v>80745</v>
      </c>
      <c r="I552" s="199">
        <v>0</v>
      </c>
      <c r="J552" s="199">
        <v>0</v>
      </c>
      <c r="K552" s="199">
        <v>0</v>
      </c>
      <c r="L552" s="122">
        <v>80745</v>
      </c>
    </row>
    <row r="553" spans="1:12" ht="15" customHeight="1" x14ac:dyDescent="0.2">
      <c r="A553" s="103" t="s">
        <v>120</v>
      </c>
      <c r="B553" s="198" t="s">
        <v>289</v>
      </c>
      <c r="C553" s="37" t="s">
        <v>290</v>
      </c>
      <c r="D553" s="103">
        <v>308</v>
      </c>
      <c r="E553" s="122">
        <v>135845</v>
      </c>
      <c r="F553" s="122">
        <v>43821</v>
      </c>
      <c r="G553" s="227" t="s">
        <v>457</v>
      </c>
      <c r="H553" s="122">
        <v>92024</v>
      </c>
      <c r="I553" s="199">
        <v>0</v>
      </c>
      <c r="J553" s="199">
        <v>0</v>
      </c>
      <c r="K553" s="199">
        <v>0</v>
      </c>
      <c r="L553" s="122">
        <v>92024</v>
      </c>
    </row>
    <row r="554" spans="1:12" ht="15" customHeight="1" x14ac:dyDescent="0.2">
      <c r="A554" s="103" t="s">
        <v>120</v>
      </c>
      <c r="B554" s="198" t="s">
        <v>257</v>
      </c>
      <c r="C554" s="37" t="s">
        <v>239</v>
      </c>
      <c r="D554" s="103">
        <v>260</v>
      </c>
      <c r="E554" s="122">
        <v>21787691</v>
      </c>
      <c r="F554" s="122">
        <v>21509807</v>
      </c>
      <c r="G554" s="227" t="s">
        <v>457</v>
      </c>
      <c r="H554" s="122">
        <v>277884</v>
      </c>
      <c r="I554" s="122">
        <v>1090955</v>
      </c>
      <c r="J554" s="122">
        <v>31533</v>
      </c>
      <c r="K554" s="122">
        <v>1059422</v>
      </c>
      <c r="L554" s="122">
        <v>-781538</v>
      </c>
    </row>
    <row r="555" spans="1:12" ht="15" customHeight="1" x14ac:dyDescent="0.2">
      <c r="A555" s="103" t="s">
        <v>120</v>
      </c>
      <c r="B555" s="198" t="s">
        <v>271</v>
      </c>
      <c r="C555" s="37" t="s">
        <v>272</v>
      </c>
      <c r="D555" s="103">
        <v>346</v>
      </c>
      <c r="E555" s="122">
        <v>51841</v>
      </c>
      <c r="F555" s="122">
        <v>50296</v>
      </c>
      <c r="G555" s="227" t="s">
        <v>457</v>
      </c>
      <c r="H555" s="122">
        <v>1545</v>
      </c>
      <c r="I555" s="199">
        <v>0</v>
      </c>
      <c r="J555" s="199">
        <v>0</v>
      </c>
      <c r="K555" s="199">
        <v>0</v>
      </c>
      <c r="L555" s="122">
        <v>1545</v>
      </c>
    </row>
    <row r="556" spans="1:12" ht="15" customHeight="1" x14ac:dyDescent="0.2">
      <c r="A556" s="103" t="s">
        <v>120</v>
      </c>
      <c r="B556" s="198" t="s">
        <v>260</v>
      </c>
      <c r="C556" s="37" t="s">
        <v>261</v>
      </c>
      <c r="D556" s="103">
        <v>351</v>
      </c>
      <c r="E556" s="122">
        <v>63789</v>
      </c>
      <c r="F556" s="122">
        <v>58955</v>
      </c>
      <c r="G556" s="227" t="s">
        <v>457</v>
      </c>
      <c r="H556" s="122">
        <v>4834</v>
      </c>
      <c r="I556" s="199">
        <v>0</v>
      </c>
      <c r="J556" s="199">
        <v>0</v>
      </c>
      <c r="K556" s="199">
        <v>0</v>
      </c>
      <c r="L556" s="122">
        <v>4834</v>
      </c>
    </row>
    <row r="557" spans="1:12" ht="15" customHeight="1" x14ac:dyDescent="0.2">
      <c r="A557" s="206" t="s">
        <v>385</v>
      </c>
      <c r="B557" s="228" t="s">
        <v>457</v>
      </c>
      <c r="C557" s="228" t="s">
        <v>457</v>
      </c>
      <c r="D557" s="228" t="s">
        <v>457</v>
      </c>
      <c r="E557" s="117">
        <f>SUBTOTAL(109,school200809[Program
Costs])</f>
        <v>479117718</v>
      </c>
      <c r="F557" s="117">
        <f>SUBTOTAL(109,school200809[Less: Net
 Payments and 
Offsets 2])</f>
        <v>380599458</v>
      </c>
      <c r="G557" s="228" t="s">
        <v>457</v>
      </c>
      <c r="H557" s="117">
        <f>SUBTOTAL(109,school200809[Accounts Payable
Balance])</f>
        <v>98518260</v>
      </c>
      <c r="I557" s="117">
        <f>SUBTOTAL(109,school200809[Established
Accounts Receivable])</f>
        <v>2272295</v>
      </c>
      <c r="J557" s="117">
        <f>SUBTOTAL(109,school200809[Less: 
Recovered 
Amount])</f>
        <v>295119</v>
      </c>
      <c r="K557" s="117">
        <f>SUBTOTAL(109,school200809[Accounts Receivable
Balance])</f>
        <v>1977176</v>
      </c>
      <c r="L557" s="117">
        <f>SUBTOTAL(109,school200809[Net
Balance])</f>
        <v>96541084</v>
      </c>
    </row>
    <row r="558" spans="1:12" ht="15.75" customHeight="1" x14ac:dyDescent="0.2">
      <c r="A558" s="169" t="s">
        <v>463</v>
      </c>
      <c r="B558" s="198"/>
      <c r="C558" s="37"/>
      <c r="D558" s="103"/>
      <c r="E558" s="122"/>
      <c r="F558" s="122"/>
      <c r="G558" s="122"/>
      <c r="H558" s="122"/>
      <c r="I558" s="122"/>
      <c r="J558" s="122"/>
      <c r="K558" s="122"/>
      <c r="L558" s="122"/>
    </row>
    <row r="559" spans="1:12" ht="50.1" customHeight="1" x14ac:dyDescent="0.2">
      <c r="A559" s="40" t="s">
        <v>1</v>
      </c>
      <c r="B559" s="40" t="s">
        <v>15</v>
      </c>
      <c r="C559" s="40" t="s">
        <v>16</v>
      </c>
      <c r="D559" s="40" t="s">
        <v>454</v>
      </c>
      <c r="E559" s="230" t="s">
        <v>3</v>
      </c>
      <c r="F559" s="231" t="s">
        <v>592</v>
      </c>
      <c r="G559" s="232" t="s">
        <v>462</v>
      </c>
      <c r="H559" s="230" t="s">
        <v>461</v>
      </c>
      <c r="I559" s="197" t="s">
        <v>460</v>
      </c>
      <c r="J559" s="230" t="s">
        <v>459</v>
      </c>
      <c r="K559" s="230" t="s">
        <v>458</v>
      </c>
      <c r="L559" s="230" t="s">
        <v>17</v>
      </c>
    </row>
    <row r="560" spans="1:12" ht="15" customHeight="1" x14ac:dyDescent="0.2">
      <c r="A560" s="103" t="s">
        <v>131</v>
      </c>
      <c r="B560" s="198" t="s">
        <v>74</v>
      </c>
      <c r="C560" s="37" t="s">
        <v>75</v>
      </c>
      <c r="D560" s="103">
        <v>170</v>
      </c>
      <c r="E560" s="199">
        <v>0</v>
      </c>
      <c r="F560" s="199">
        <v>0</v>
      </c>
      <c r="G560" s="227" t="s">
        <v>457</v>
      </c>
      <c r="H560" s="199">
        <v>0</v>
      </c>
      <c r="I560" s="122">
        <v>1000</v>
      </c>
      <c r="J560" s="199">
        <v>0</v>
      </c>
      <c r="K560" s="122">
        <v>1000</v>
      </c>
      <c r="L560" s="122">
        <v>-1000</v>
      </c>
    </row>
    <row r="561" spans="1:12" ht="15" customHeight="1" x14ac:dyDescent="0.2">
      <c r="A561" s="103" t="s">
        <v>131</v>
      </c>
      <c r="B561" s="198" t="s">
        <v>277</v>
      </c>
      <c r="C561" s="37" t="s">
        <v>278</v>
      </c>
      <c r="D561" s="103">
        <v>305</v>
      </c>
      <c r="E561" s="122">
        <v>117677</v>
      </c>
      <c r="F561" s="122">
        <v>104958</v>
      </c>
      <c r="G561" s="227" t="s">
        <v>457</v>
      </c>
      <c r="H561" s="122">
        <v>12719</v>
      </c>
      <c r="I561" s="199">
        <v>0</v>
      </c>
      <c r="J561" s="199">
        <v>0</v>
      </c>
      <c r="K561" s="199">
        <v>0</v>
      </c>
      <c r="L561" s="122">
        <v>12719</v>
      </c>
    </row>
    <row r="562" spans="1:12" ht="15" customHeight="1" x14ac:dyDescent="0.2">
      <c r="A562" s="103" t="s">
        <v>131</v>
      </c>
      <c r="B562" s="198" t="s">
        <v>217</v>
      </c>
      <c r="C562" s="37" t="s">
        <v>218</v>
      </c>
      <c r="D562" s="103">
        <v>250</v>
      </c>
      <c r="E562" s="122">
        <v>1709781</v>
      </c>
      <c r="F562" s="122">
        <v>1015426</v>
      </c>
      <c r="G562" s="227" t="s">
        <v>457</v>
      </c>
      <c r="H562" s="122">
        <v>694355</v>
      </c>
      <c r="I562" s="122">
        <v>7</v>
      </c>
      <c r="J562" s="122">
        <v>4</v>
      </c>
      <c r="K562" s="122">
        <v>3</v>
      </c>
      <c r="L562" s="122">
        <v>694352</v>
      </c>
    </row>
    <row r="563" spans="1:12" ht="30" customHeight="1" x14ac:dyDescent="0.2">
      <c r="A563" s="103" t="s">
        <v>131</v>
      </c>
      <c r="B563" s="198" t="s">
        <v>300</v>
      </c>
      <c r="C563" s="37" t="s">
        <v>296</v>
      </c>
      <c r="D563" s="103">
        <v>348</v>
      </c>
      <c r="E563" s="122">
        <v>53867214</v>
      </c>
      <c r="F563" s="122">
        <v>45736429</v>
      </c>
      <c r="G563" s="227" t="s">
        <v>457</v>
      </c>
      <c r="H563" s="122">
        <v>8130785</v>
      </c>
      <c r="I563" s="199">
        <v>0</v>
      </c>
      <c r="J563" s="199">
        <v>0</v>
      </c>
      <c r="K563" s="199">
        <v>0</v>
      </c>
      <c r="L563" s="122">
        <v>8130785</v>
      </c>
    </row>
    <row r="564" spans="1:12" ht="30" customHeight="1" x14ac:dyDescent="0.2">
      <c r="A564" s="103" t="s">
        <v>131</v>
      </c>
      <c r="B564" s="198" t="s">
        <v>215</v>
      </c>
      <c r="C564" s="37" t="s">
        <v>216</v>
      </c>
      <c r="D564" s="103">
        <v>286</v>
      </c>
      <c r="E564" s="122">
        <v>72259</v>
      </c>
      <c r="F564" s="122">
        <v>49294</v>
      </c>
      <c r="G564" s="227" t="s">
        <v>457</v>
      </c>
      <c r="H564" s="122">
        <v>22965</v>
      </c>
      <c r="I564" s="199">
        <v>0</v>
      </c>
      <c r="J564" s="199">
        <v>0</v>
      </c>
      <c r="K564" s="199">
        <v>0</v>
      </c>
      <c r="L564" s="122">
        <v>22965</v>
      </c>
    </row>
    <row r="565" spans="1:12" ht="30" customHeight="1" x14ac:dyDescent="0.2">
      <c r="A565" s="103" t="s">
        <v>131</v>
      </c>
      <c r="B565" s="198" t="s">
        <v>221</v>
      </c>
      <c r="C565" s="37" t="s">
        <v>222</v>
      </c>
      <c r="D565" s="103">
        <v>172</v>
      </c>
      <c r="E565" s="122">
        <v>624944</v>
      </c>
      <c r="F565" s="122">
        <v>536418</v>
      </c>
      <c r="G565" s="227" t="s">
        <v>457</v>
      </c>
      <c r="H565" s="122">
        <v>88526</v>
      </c>
      <c r="I565" s="199">
        <v>0</v>
      </c>
      <c r="J565" s="199">
        <v>0</v>
      </c>
      <c r="K565" s="199">
        <v>0</v>
      </c>
      <c r="L565" s="122">
        <v>88526</v>
      </c>
    </row>
    <row r="566" spans="1:12" ht="15" customHeight="1" x14ac:dyDescent="0.2">
      <c r="A566" s="103" t="s">
        <v>131</v>
      </c>
      <c r="B566" s="198" t="s">
        <v>273</v>
      </c>
      <c r="C566" s="37" t="s">
        <v>274</v>
      </c>
      <c r="D566" s="103">
        <v>278</v>
      </c>
      <c r="E566" s="122">
        <v>1740107</v>
      </c>
      <c r="F566" s="122">
        <v>1552010</v>
      </c>
      <c r="G566" s="227" t="s">
        <v>457</v>
      </c>
      <c r="H566" s="122">
        <v>188097</v>
      </c>
      <c r="I566" s="199">
        <v>0</v>
      </c>
      <c r="J566" s="199">
        <v>0</v>
      </c>
      <c r="K566" s="199">
        <v>0</v>
      </c>
      <c r="L566" s="122">
        <v>188097</v>
      </c>
    </row>
    <row r="567" spans="1:12" ht="30" customHeight="1" x14ac:dyDescent="0.2">
      <c r="A567" s="103" t="s">
        <v>131</v>
      </c>
      <c r="B567" s="198" t="s">
        <v>195</v>
      </c>
      <c r="C567" s="37" t="s">
        <v>196</v>
      </c>
      <c r="D567" s="103">
        <v>11</v>
      </c>
      <c r="E567" s="122">
        <v>23972104</v>
      </c>
      <c r="F567" s="122">
        <v>21133564</v>
      </c>
      <c r="G567" s="227" t="s">
        <v>457</v>
      </c>
      <c r="H567" s="122">
        <v>2838540</v>
      </c>
      <c r="I567" s="122">
        <v>2</v>
      </c>
      <c r="J567" s="199">
        <v>0</v>
      </c>
      <c r="K567" s="122">
        <v>2</v>
      </c>
      <c r="L567" s="122">
        <v>2838538</v>
      </c>
    </row>
    <row r="568" spans="1:12" ht="15" customHeight="1" x14ac:dyDescent="0.2">
      <c r="A568" s="103" t="s">
        <v>131</v>
      </c>
      <c r="B568" s="198" t="s">
        <v>316</v>
      </c>
      <c r="C568" s="37" t="s">
        <v>224</v>
      </c>
      <c r="D568" s="103">
        <v>223</v>
      </c>
      <c r="E568" s="122">
        <v>4039486</v>
      </c>
      <c r="F568" s="122">
        <v>3691207</v>
      </c>
      <c r="G568" s="227" t="s">
        <v>457</v>
      </c>
      <c r="H568" s="122">
        <v>348279</v>
      </c>
      <c r="I568" s="122">
        <v>3</v>
      </c>
      <c r="J568" s="199">
        <v>0</v>
      </c>
      <c r="K568" s="122">
        <v>3</v>
      </c>
      <c r="L568" s="122">
        <v>348276</v>
      </c>
    </row>
    <row r="569" spans="1:12" ht="15" customHeight="1" x14ac:dyDescent="0.2">
      <c r="A569" s="103" t="s">
        <v>131</v>
      </c>
      <c r="B569" s="198" t="s">
        <v>227</v>
      </c>
      <c r="C569" s="37" t="s">
        <v>228</v>
      </c>
      <c r="D569" s="103">
        <v>272</v>
      </c>
      <c r="E569" s="122">
        <v>9224219</v>
      </c>
      <c r="F569" s="122">
        <v>8491932</v>
      </c>
      <c r="G569" s="227" t="s">
        <v>457</v>
      </c>
      <c r="H569" s="122">
        <v>732287</v>
      </c>
      <c r="I569" s="122">
        <v>2</v>
      </c>
      <c r="J569" s="199">
        <v>0</v>
      </c>
      <c r="K569" s="122">
        <v>2</v>
      </c>
      <c r="L569" s="122">
        <v>732285</v>
      </c>
    </row>
    <row r="570" spans="1:12" ht="45" x14ac:dyDescent="0.2">
      <c r="A570" s="103" t="s">
        <v>131</v>
      </c>
      <c r="B570" s="198" t="s">
        <v>229</v>
      </c>
      <c r="C570" s="37" t="s">
        <v>230</v>
      </c>
      <c r="D570" s="103">
        <v>276</v>
      </c>
      <c r="E570" s="122">
        <v>891073</v>
      </c>
      <c r="F570" s="122">
        <v>717431</v>
      </c>
      <c r="G570" s="227" t="s">
        <v>457</v>
      </c>
      <c r="H570" s="122">
        <v>173642</v>
      </c>
      <c r="I570" s="199">
        <v>0</v>
      </c>
      <c r="J570" s="199">
        <v>0</v>
      </c>
      <c r="K570" s="199">
        <v>0</v>
      </c>
      <c r="L570" s="122">
        <v>173642</v>
      </c>
    </row>
    <row r="571" spans="1:12" ht="45" x14ac:dyDescent="0.2">
      <c r="A571" s="103" t="s">
        <v>131</v>
      </c>
      <c r="B571" s="198" t="s">
        <v>319</v>
      </c>
      <c r="C571" s="37" t="s">
        <v>320</v>
      </c>
      <c r="D571" s="103">
        <v>291</v>
      </c>
      <c r="E571" s="122">
        <v>346400</v>
      </c>
      <c r="F571" s="122">
        <v>287064</v>
      </c>
      <c r="G571" s="227" t="s">
        <v>457</v>
      </c>
      <c r="H571" s="122">
        <v>59336</v>
      </c>
      <c r="I571" s="199">
        <v>0</v>
      </c>
      <c r="J571" s="199">
        <v>0</v>
      </c>
      <c r="K571" s="199">
        <v>0</v>
      </c>
      <c r="L571" s="122">
        <v>59336</v>
      </c>
    </row>
    <row r="572" spans="1:12" ht="30" customHeight="1" x14ac:dyDescent="0.2">
      <c r="A572" s="103" t="s">
        <v>131</v>
      </c>
      <c r="B572" s="198" t="s">
        <v>233</v>
      </c>
      <c r="C572" s="37" t="s">
        <v>234</v>
      </c>
      <c r="D572" s="103">
        <v>209</v>
      </c>
      <c r="E572" s="122">
        <v>309546</v>
      </c>
      <c r="F572" s="122">
        <v>224475</v>
      </c>
      <c r="G572" s="227" t="s">
        <v>457</v>
      </c>
      <c r="H572" s="122">
        <v>85071</v>
      </c>
      <c r="I572" s="199">
        <v>0</v>
      </c>
      <c r="J572" s="199">
        <v>0</v>
      </c>
      <c r="K572" s="199">
        <v>0</v>
      </c>
      <c r="L572" s="122">
        <v>85071</v>
      </c>
    </row>
    <row r="573" spans="1:12" ht="15" customHeight="1" x14ac:dyDescent="0.2">
      <c r="A573" s="103" t="s">
        <v>131</v>
      </c>
      <c r="B573" s="198" t="s">
        <v>235</v>
      </c>
      <c r="C573" s="37" t="s">
        <v>236</v>
      </c>
      <c r="D573" s="103">
        <v>183</v>
      </c>
      <c r="E573" s="122">
        <v>868045</v>
      </c>
      <c r="F573" s="122">
        <v>731745</v>
      </c>
      <c r="G573" s="227" t="s">
        <v>457</v>
      </c>
      <c r="H573" s="122">
        <v>136300</v>
      </c>
      <c r="I573" s="122">
        <v>1</v>
      </c>
      <c r="J573" s="122">
        <v>1</v>
      </c>
      <c r="K573" s="199">
        <v>0</v>
      </c>
      <c r="L573" s="122">
        <v>136300</v>
      </c>
    </row>
    <row r="574" spans="1:12" ht="15" customHeight="1" x14ac:dyDescent="0.2">
      <c r="A574" s="103" t="s">
        <v>131</v>
      </c>
      <c r="B574" s="198" t="s">
        <v>264</v>
      </c>
      <c r="C574" s="37" t="s">
        <v>265</v>
      </c>
      <c r="D574" s="103">
        <v>251</v>
      </c>
      <c r="E574" s="122">
        <v>459132</v>
      </c>
      <c r="F574" s="122">
        <v>388107</v>
      </c>
      <c r="G574" s="227" t="s">
        <v>457</v>
      </c>
      <c r="H574" s="122">
        <v>71025</v>
      </c>
      <c r="I574" s="199">
        <v>0</v>
      </c>
      <c r="J574" s="199">
        <v>0</v>
      </c>
      <c r="K574" s="199">
        <v>0</v>
      </c>
      <c r="L574" s="122">
        <v>71025</v>
      </c>
    </row>
    <row r="575" spans="1:12" ht="15" customHeight="1" x14ac:dyDescent="0.2">
      <c r="A575" s="103" t="s">
        <v>131</v>
      </c>
      <c r="B575" s="198" t="s">
        <v>281</v>
      </c>
      <c r="C575" s="37" t="s">
        <v>226</v>
      </c>
      <c r="D575" s="103">
        <v>91</v>
      </c>
      <c r="E575" s="122">
        <v>13054</v>
      </c>
      <c r="F575" s="122">
        <v>11243</v>
      </c>
      <c r="G575" s="227" t="s">
        <v>457</v>
      </c>
      <c r="H575" s="122">
        <v>1811</v>
      </c>
      <c r="I575" s="199">
        <v>0</v>
      </c>
      <c r="J575" s="199">
        <v>0</v>
      </c>
      <c r="K575" s="199">
        <v>0</v>
      </c>
      <c r="L575" s="122">
        <v>1811</v>
      </c>
    </row>
    <row r="576" spans="1:12" ht="15" customHeight="1" x14ac:dyDescent="0.2">
      <c r="A576" s="103" t="s">
        <v>131</v>
      </c>
      <c r="B576" s="198" t="s">
        <v>237</v>
      </c>
      <c r="C576" s="37" t="s">
        <v>208</v>
      </c>
      <c r="D576" s="103">
        <v>192</v>
      </c>
      <c r="E576" s="122">
        <v>415489</v>
      </c>
      <c r="F576" s="122">
        <v>357800</v>
      </c>
      <c r="G576" s="227" t="s">
        <v>457</v>
      </c>
      <c r="H576" s="122">
        <v>57689</v>
      </c>
      <c r="I576" s="199">
        <v>0</v>
      </c>
      <c r="J576" s="199">
        <v>0</v>
      </c>
      <c r="K576" s="199">
        <v>0</v>
      </c>
      <c r="L576" s="122">
        <v>57689</v>
      </c>
    </row>
    <row r="577" spans="1:12" ht="15" customHeight="1" x14ac:dyDescent="0.2">
      <c r="A577" s="103" t="s">
        <v>131</v>
      </c>
      <c r="B577" s="198" t="s">
        <v>321</v>
      </c>
      <c r="C577" s="37" t="s">
        <v>239</v>
      </c>
      <c r="D577" s="103">
        <v>26</v>
      </c>
      <c r="E577" s="122">
        <v>27025365</v>
      </c>
      <c r="F577" s="122">
        <v>19200448</v>
      </c>
      <c r="G577" s="227" t="s">
        <v>457</v>
      </c>
      <c r="H577" s="122">
        <v>7824917</v>
      </c>
      <c r="I577" s="199">
        <v>0</v>
      </c>
      <c r="J577" s="199">
        <v>0</v>
      </c>
      <c r="K577" s="199">
        <v>0</v>
      </c>
      <c r="L577" s="122">
        <v>7824917</v>
      </c>
    </row>
    <row r="578" spans="1:12" ht="15" customHeight="1" x14ac:dyDescent="0.2">
      <c r="A578" s="103" t="s">
        <v>131</v>
      </c>
      <c r="B578" s="198" t="s">
        <v>238</v>
      </c>
      <c r="C578" s="37" t="s">
        <v>239</v>
      </c>
      <c r="D578" s="103">
        <v>297</v>
      </c>
      <c r="E578" s="122">
        <v>231343214</v>
      </c>
      <c r="F578" s="122">
        <v>180663161</v>
      </c>
      <c r="G578" s="227" t="s">
        <v>457</v>
      </c>
      <c r="H578" s="122">
        <v>50680053</v>
      </c>
      <c r="I578" s="199">
        <v>0</v>
      </c>
      <c r="J578" s="199">
        <v>0</v>
      </c>
      <c r="K578" s="199">
        <v>0</v>
      </c>
      <c r="L578" s="122">
        <v>50680053</v>
      </c>
    </row>
    <row r="579" spans="1:12" ht="15" customHeight="1" x14ac:dyDescent="0.2">
      <c r="A579" s="103" t="s">
        <v>131</v>
      </c>
      <c r="B579" s="198" t="s">
        <v>240</v>
      </c>
      <c r="C579" s="37" t="s">
        <v>241</v>
      </c>
      <c r="D579" s="103">
        <v>166</v>
      </c>
      <c r="E579" s="122">
        <v>9142743</v>
      </c>
      <c r="F579" s="122">
        <v>7632371</v>
      </c>
      <c r="G579" s="227" t="s">
        <v>457</v>
      </c>
      <c r="H579" s="122">
        <v>1510372</v>
      </c>
      <c r="I579" s="122">
        <v>1</v>
      </c>
      <c r="J579" s="199">
        <v>0</v>
      </c>
      <c r="K579" s="122">
        <v>1</v>
      </c>
      <c r="L579" s="122">
        <v>1510371</v>
      </c>
    </row>
    <row r="580" spans="1:12" ht="15" customHeight="1" x14ac:dyDescent="0.2">
      <c r="A580" s="103" t="s">
        <v>131</v>
      </c>
      <c r="B580" s="198" t="s">
        <v>282</v>
      </c>
      <c r="C580" s="37" t="s">
        <v>283</v>
      </c>
      <c r="D580" s="103">
        <v>268</v>
      </c>
      <c r="E580" s="122">
        <v>6821348</v>
      </c>
      <c r="F580" s="122">
        <v>4845414</v>
      </c>
      <c r="G580" s="227" t="s">
        <v>457</v>
      </c>
      <c r="H580" s="122">
        <v>1975934</v>
      </c>
      <c r="I580" s="199">
        <v>0</v>
      </c>
      <c r="J580" s="199">
        <v>0</v>
      </c>
      <c r="K580" s="199">
        <v>0</v>
      </c>
      <c r="L580" s="122">
        <v>1975934</v>
      </c>
    </row>
    <row r="581" spans="1:12" ht="15" customHeight="1" x14ac:dyDescent="0.2">
      <c r="A581" s="103" t="s">
        <v>131</v>
      </c>
      <c r="B581" s="198" t="s">
        <v>242</v>
      </c>
      <c r="C581" s="37" t="s">
        <v>243</v>
      </c>
      <c r="D581" s="103">
        <v>32</v>
      </c>
      <c r="E581" s="122">
        <v>4365949</v>
      </c>
      <c r="F581" s="122">
        <v>4220239</v>
      </c>
      <c r="G581" s="227" t="s">
        <v>457</v>
      </c>
      <c r="H581" s="122">
        <v>145710</v>
      </c>
      <c r="I581" s="122">
        <v>2</v>
      </c>
      <c r="J581" s="199">
        <v>0</v>
      </c>
      <c r="K581" s="122">
        <v>2</v>
      </c>
      <c r="L581" s="122">
        <v>145708</v>
      </c>
    </row>
    <row r="582" spans="1:12" ht="15" customHeight="1" x14ac:dyDescent="0.2">
      <c r="A582" s="103" t="s">
        <v>131</v>
      </c>
      <c r="B582" s="198" t="s">
        <v>297</v>
      </c>
      <c r="C582" s="37" t="s">
        <v>245</v>
      </c>
      <c r="D582" s="103">
        <v>230</v>
      </c>
      <c r="E582" s="122">
        <v>5527460</v>
      </c>
      <c r="F582" s="122">
        <v>5438722</v>
      </c>
      <c r="G582" s="227" t="s">
        <v>457</v>
      </c>
      <c r="H582" s="122">
        <v>88738</v>
      </c>
      <c r="I582" s="122">
        <v>3</v>
      </c>
      <c r="J582" s="199">
        <v>0</v>
      </c>
      <c r="K582" s="122">
        <v>3</v>
      </c>
      <c r="L582" s="122">
        <v>88735</v>
      </c>
    </row>
    <row r="583" spans="1:12" ht="15" customHeight="1" x14ac:dyDescent="0.2">
      <c r="A583" s="103" t="s">
        <v>131</v>
      </c>
      <c r="B583" s="198" t="s">
        <v>284</v>
      </c>
      <c r="C583" s="37" t="s">
        <v>285</v>
      </c>
      <c r="D583" s="103">
        <v>148</v>
      </c>
      <c r="E583" s="122">
        <v>35051</v>
      </c>
      <c r="F583" s="122">
        <v>9658</v>
      </c>
      <c r="G583" s="227" t="s">
        <v>457</v>
      </c>
      <c r="H583" s="122">
        <v>25393</v>
      </c>
      <c r="I583" s="199">
        <v>0</v>
      </c>
      <c r="J583" s="199">
        <v>0</v>
      </c>
      <c r="K583" s="199">
        <v>0</v>
      </c>
      <c r="L583" s="122">
        <v>25393</v>
      </c>
    </row>
    <row r="584" spans="1:12" ht="15" customHeight="1" x14ac:dyDescent="0.2">
      <c r="A584" s="103" t="s">
        <v>131</v>
      </c>
      <c r="B584" s="198" t="s">
        <v>248</v>
      </c>
      <c r="C584" s="37" t="s">
        <v>249</v>
      </c>
      <c r="D584" s="103">
        <v>153</v>
      </c>
      <c r="E584" s="122">
        <v>4238386</v>
      </c>
      <c r="F584" s="122">
        <v>3825740</v>
      </c>
      <c r="G584" s="227" t="s">
        <v>457</v>
      </c>
      <c r="H584" s="122">
        <v>412646</v>
      </c>
      <c r="I584" s="199">
        <v>0</v>
      </c>
      <c r="J584" s="199">
        <v>0</v>
      </c>
      <c r="K584" s="199">
        <v>0</v>
      </c>
      <c r="L584" s="122">
        <v>412646</v>
      </c>
    </row>
    <row r="585" spans="1:12" ht="15" customHeight="1" x14ac:dyDescent="0.2">
      <c r="A585" s="103" t="s">
        <v>131</v>
      </c>
      <c r="B585" s="198" t="s">
        <v>266</v>
      </c>
      <c r="C585" s="37" t="s">
        <v>267</v>
      </c>
      <c r="D585" s="103">
        <v>155</v>
      </c>
      <c r="E585" s="122">
        <v>1159907</v>
      </c>
      <c r="F585" s="122">
        <v>470577</v>
      </c>
      <c r="G585" s="227" t="s">
        <v>457</v>
      </c>
      <c r="H585" s="122">
        <v>689330</v>
      </c>
      <c r="I585" s="199">
        <v>0</v>
      </c>
      <c r="J585" s="199">
        <v>0</v>
      </c>
      <c r="K585" s="199">
        <v>0</v>
      </c>
      <c r="L585" s="122">
        <v>689330</v>
      </c>
    </row>
    <row r="586" spans="1:12" ht="15" customHeight="1" x14ac:dyDescent="0.2">
      <c r="A586" s="103" t="s">
        <v>131</v>
      </c>
      <c r="B586" s="198" t="s">
        <v>82</v>
      </c>
      <c r="C586" s="37" t="s">
        <v>83</v>
      </c>
      <c r="D586" s="103">
        <v>42</v>
      </c>
      <c r="E586" s="122">
        <v>16405291</v>
      </c>
      <c r="F586" s="122">
        <v>14589752</v>
      </c>
      <c r="G586" s="227" t="s">
        <v>457</v>
      </c>
      <c r="H586" s="122">
        <v>1815539</v>
      </c>
      <c r="I586" s="199">
        <v>0</v>
      </c>
      <c r="J586" s="199">
        <v>0</v>
      </c>
      <c r="K586" s="199">
        <v>0</v>
      </c>
      <c r="L586" s="122">
        <v>1815539</v>
      </c>
    </row>
    <row r="587" spans="1:12" ht="45" x14ac:dyDescent="0.2">
      <c r="A587" s="103" t="s">
        <v>131</v>
      </c>
      <c r="B587" s="198" t="s">
        <v>317</v>
      </c>
      <c r="C587" s="37" t="s">
        <v>318</v>
      </c>
      <c r="D587" s="103">
        <v>265</v>
      </c>
      <c r="E587" s="122">
        <v>3431203</v>
      </c>
      <c r="F587" s="122">
        <v>3273018</v>
      </c>
      <c r="G587" s="227" t="s">
        <v>457</v>
      </c>
      <c r="H587" s="122">
        <v>158185</v>
      </c>
      <c r="I587" s="199">
        <v>0</v>
      </c>
      <c r="J587" s="199">
        <v>0</v>
      </c>
      <c r="K587" s="199">
        <v>0</v>
      </c>
      <c r="L587" s="122">
        <v>158185</v>
      </c>
    </row>
    <row r="588" spans="1:12" ht="15" customHeight="1" x14ac:dyDescent="0.2">
      <c r="A588" s="103" t="s">
        <v>131</v>
      </c>
      <c r="B588" s="198" t="s">
        <v>250</v>
      </c>
      <c r="C588" s="37" t="s">
        <v>239</v>
      </c>
      <c r="D588" s="103">
        <v>48</v>
      </c>
      <c r="E588" s="122">
        <v>16695259</v>
      </c>
      <c r="F588" s="122">
        <v>14809884</v>
      </c>
      <c r="G588" s="227" t="s">
        <v>457</v>
      </c>
      <c r="H588" s="122">
        <v>1885375</v>
      </c>
      <c r="I588" s="122">
        <v>10</v>
      </c>
      <c r="J588" s="122">
        <v>9</v>
      </c>
      <c r="K588" s="122">
        <v>1</v>
      </c>
      <c r="L588" s="122">
        <v>1885374</v>
      </c>
    </row>
    <row r="589" spans="1:12" ht="30" customHeight="1" x14ac:dyDescent="0.2">
      <c r="A589" s="103" t="s">
        <v>131</v>
      </c>
      <c r="B589" s="198" t="s">
        <v>322</v>
      </c>
      <c r="C589" s="37" t="s">
        <v>232</v>
      </c>
      <c r="D589" s="103">
        <v>150</v>
      </c>
      <c r="E589" s="122">
        <v>7031995</v>
      </c>
      <c r="F589" s="122">
        <v>6148659</v>
      </c>
      <c r="G589" s="227" t="s">
        <v>457</v>
      </c>
      <c r="H589" s="122">
        <v>883336</v>
      </c>
      <c r="I589" s="122">
        <v>9</v>
      </c>
      <c r="J589" s="122">
        <v>7</v>
      </c>
      <c r="K589" s="122">
        <v>2</v>
      </c>
      <c r="L589" s="122">
        <v>883334</v>
      </c>
    </row>
    <row r="590" spans="1:12" ht="15" customHeight="1" x14ac:dyDescent="0.2">
      <c r="A590" s="103" t="s">
        <v>131</v>
      </c>
      <c r="B590" s="198" t="s">
        <v>71</v>
      </c>
      <c r="C590" s="37" t="s">
        <v>72</v>
      </c>
      <c r="D590" s="103">
        <v>218</v>
      </c>
      <c r="E590" s="122">
        <v>3819044</v>
      </c>
      <c r="F590" s="122">
        <v>3199438</v>
      </c>
      <c r="G590" s="227" t="s">
        <v>457</v>
      </c>
      <c r="H590" s="122">
        <v>619606</v>
      </c>
      <c r="I590" s="199">
        <v>0</v>
      </c>
      <c r="J590" s="199">
        <v>0</v>
      </c>
      <c r="K590" s="199">
        <v>0</v>
      </c>
      <c r="L590" s="122">
        <v>619606</v>
      </c>
    </row>
    <row r="591" spans="1:12" ht="15" customHeight="1" x14ac:dyDescent="0.2">
      <c r="A591" s="103" t="s">
        <v>131</v>
      </c>
      <c r="B591" s="198" t="s">
        <v>251</v>
      </c>
      <c r="C591" s="37" t="s">
        <v>252</v>
      </c>
      <c r="D591" s="103">
        <v>350</v>
      </c>
      <c r="E591" s="122">
        <v>51370</v>
      </c>
      <c r="F591" s="122">
        <v>39338</v>
      </c>
      <c r="G591" s="227" t="s">
        <v>457</v>
      </c>
      <c r="H591" s="122">
        <v>12032</v>
      </c>
      <c r="I591" s="199">
        <v>0</v>
      </c>
      <c r="J591" s="199">
        <v>0</v>
      </c>
      <c r="K591" s="199">
        <v>0</v>
      </c>
      <c r="L591" s="122">
        <v>12032</v>
      </c>
    </row>
    <row r="592" spans="1:12" ht="15" customHeight="1" x14ac:dyDescent="0.2">
      <c r="A592" s="103" t="s">
        <v>131</v>
      </c>
      <c r="B592" s="198" t="s">
        <v>268</v>
      </c>
      <c r="C592" s="37" t="s">
        <v>269</v>
      </c>
      <c r="D592" s="103">
        <v>173</v>
      </c>
      <c r="E592" s="122">
        <v>1914565</v>
      </c>
      <c r="F592" s="122">
        <v>1846192</v>
      </c>
      <c r="G592" s="227" t="s">
        <v>457</v>
      </c>
      <c r="H592" s="122">
        <v>68373</v>
      </c>
      <c r="I592" s="122">
        <v>2</v>
      </c>
      <c r="J592" s="199">
        <v>0</v>
      </c>
      <c r="K592" s="122">
        <v>2</v>
      </c>
      <c r="L592" s="122">
        <v>68371</v>
      </c>
    </row>
    <row r="593" spans="1:12" ht="15" customHeight="1" x14ac:dyDescent="0.2">
      <c r="A593" s="103" t="s">
        <v>131</v>
      </c>
      <c r="B593" s="198" t="s">
        <v>298</v>
      </c>
      <c r="C593" s="37" t="s">
        <v>299</v>
      </c>
      <c r="D593" s="103">
        <v>335</v>
      </c>
      <c r="E593" s="122">
        <v>52155</v>
      </c>
      <c r="F593" s="122">
        <v>50686</v>
      </c>
      <c r="G593" s="227" t="s">
        <v>457</v>
      </c>
      <c r="H593" s="122">
        <v>1469</v>
      </c>
      <c r="I593" s="199">
        <v>0</v>
      </c>
      <c r="J593" s="199">
        <v>0</v>
      </c>
      <c r="K593" s="199">
        <v>0</v>
      </c>
      <c r="L593" s="122">
        <v>1469</v>
      </c>
    </row>
    <row r="594" spans="1:12" ht="15" customHeight="1" x14ac:dyDescent="0.2">
      <c r="A594" s="103" t="s">
        <v>131</v>
      </c>
      <c r="B594" s="198" t="s">
        <v>303</v>
      </c>
      <c r="C594" s="37" t="s">
        <v>304</v>
      </c>
      <c r="D594" s="103">
        <v>329</v>
      </c>
      <c r="E594" s="122">
        <v>1130326</v>
      </c>
      <c r="F594" s="122">
        <v>964197</v>
      </c>
      <c r="G594" s="227" t="s">
        <v>457</v>
      </c>
      <c r="H594" s="122">
        <v>166129</v>
      </c>
      <c r="I594" s="199">
        <v>0</v>
      </c>
      <c r="J594" s="199">
        <v>0</v>
      </c>
      <c r="K594" s="199">
        <v>0</v>
      </c>
      <c r="L594" s="122">
        <v>166129</v>
      </c>
    </row>
    <row r="595" spans="1:12" ht="15" customHeight="1" x14ac:dyDescent="0.2">
      <c r="A595" s="103" t="s">
        <v>131</v>
      </c>
      <c r="B595" s="198" t="s">
        <v>275</v>
      </c>
      <c r="C595" s="37" t="s">
        <v>276</v>
      </c>
      <c r="D595" s="103">
        <v>261</v>
      </c>
      <c r="E595" s="122">
        <v>840768</v>
      </c>
      <c r="F595" s="122">
        <v>814684</v>
      </c>
      <c r="G595" s="227" t="s">
        <v>457</v>
      </c>
      <c r="H595" s="122">
        <v>26084</v>
      </c>
      <c r="I595" s="122">
        <v>2</v>
      </c>
      <c r="J595" s="199">
        <v>0</v>
      </c>
      <c r="K595" s="122">
        <v>2</v>
      </c>
      <c r="L595" s="122">
        <v>26082</v>
      </c>
    </row>
    <row r="596" spans="1:12" ht="15" customHeight="1" x14ac:dyDescent="0.2">
      <c r="A596" s="103" t="s">
        <v>131</v>
      </c>
      <c r="B596" s="198" t="s">
        <v>270</v>
      </c>
      <c r="C596" s="37" t="s">
        <v>256</v>
      </c>
      <c r="D596" s="103">
        <v>244</v>
      </c>
      <c r="E596" s="122">
        <v>2791621</v>
      </c>
      <c r="F596" s="122">
        <v>2744445</v>
      </c>
      <c r="G596" s="227" t="s">
        <v>457</v>
      </c>
      <c r="H596" s="122">
        <v>47176</v>
      </c>
      <c r="I596" s="199">
        <v>0</v>
      </c>
      <c r="J596" s="199">
        <v>0</v>
      </c>
      <c r="K596" s="199">
        <v>0</v>
      </c>
      <c r="L596" s="122">
        <v>47176</v>
      </c>
    </row>
    <row r="597" spans="1:12" s="229" customFormat="1" ht="15" customHeight="1" x14ac:dyDescent="0.2">
      <c r="A597" s="103" t="s">
        <v>131</v>
      </c>
      <c r="B597" s="198" t="s">
        <v>314</v>
      </c>
      <c r="C597" s="37" t="s">
        <v>315</v>
      </c>
      <c r="D597" s="103">
        <v>182</v>
      </c>
      <c r="E597" s="122">
        <v>90993</v>
      </c>
      <c r="F597" s="122">
        <v>85092</v>
      </c>
      <c r="G597" s="227" t="s">
        <v>457</v>
      </c>
      <c r="H597" s="122">
        <v>5901</v>
      </c>
      <c r="I597" s="199">
        <v>0</v>
      </c>
      <c r="J597" s="199">
        <v>0</v>
      </c>
      <c r="K597" s="199">
        <v>0</v>
      </c>
      <c r="L597" s="122">
        <v>5901</v>
      </c>
    </row>
    <row r="598" spans="1:12" ht="15" customHeight="1" x14ac:dyDescent="0.2">
      <c r="A598" s="103" t="s">
        <v>131</v>
      </c>
      <c r="B598" s="198" t="s">
        <v>286</v>
      </c>
      <c r="C598" s="37" t="s">
        <v>239</v>
      </c>
      <c r="D598" s="103">
        <v>280</v>
      </c>
      <c r="E598" s="122">
        <v>23080</v>
      </c>
      <c r="F598" s="122">
        <v>9194</v>
      </c>
      <c r="G598" s="227" t="s">
        <v>457</v>
      </c>
      <c r="H598" s="122">
        <v>13886</v>
      </c>
      <c r="I598" s="199">
        <v>0</v>
      </c>
      <c r="J598" s="199">
        <v>0</v>
      </c>
      <c r="K598" s="199">
        <v>0</v>
      </c>
      <c r="L598" s="122">
        <v>13886</v>
      </c>
    </row>
    <row r="599" spans="1:12" ht="15" customHeight="1" x14ac:dyDescent="0.2">
      <c r="A599" s="103" t="s">
        <v>131</v>
      </c>
      <c r="B599" s="198" t="s">
        <v>305</v>
      </c>
      <c r="C599" s="37" t="s">
        <v>226</v>
      </c>
      <c r="D599" s="103">
        <v>176</v>
      </c>
      <c r="E599" s="122">
        <v>7082086</v>
      </c>
      <c r="F599" s="122">
        <v>6048055</v>
      </c>
      <c r="G599" s="227" t="s">
        <v>457</v>
      </c>
      <c r="H599" s="122">
        <v>1034031</v>
      </c>
      <c r="I599" s="122">
        <v>22</v>
      </c>
      <c r="J599" s="122">
        <v>21</v>
      </c>
      <c r="K599" s="122">
        <v>1</v>
      </c>
      <c r="L599" s="122">
        <v>1034030</v>
      </c>
    </row>
    <row r="600" spans="1:12" ht="15" customHeight="1" x14ac:dyDescent="0.2">
      <c r="A600" s="103" t="s">
        <v>131</v>
      </c>
      <c r="B600" s="198" t="s">
        <v>310</v>
      </c>
      <c r="C600" s="37" t="s">
        <v>311</v>
      </c>
      <c r="D600" s="103">
        <v>57</v>
      </c>
      <c r="E600" s="122">
        <v>1377233</v>
      </c>
      <c r="F600" s="122">
        <v>1090334</v>
      </c>
      <c r="G600" s="227" t="s">
        <v>457</v>
      </c>
      <c r="H600" s="122">
        <v>286899</v>
      </c>
      <c r="I600" s="199">
        <v>0</v>
      </c>
      <c r="J600" s="199">
        <v>0</v>
      </c>
      <c r="K600" s="199">
        <v>0</v>
      </c>
      <c r="L600" s="122">
        <v>286899</v>
      </c>
    </row>
    <row r="601" spans="1:12" ht="15" customHeight="1" x14ac:dyDescent="0.2">
      <c r="A601" s="103" t="s">
        <v>131</v>
      </c>
      <c r="B601" s="198" t="s">
        <v>253</v>
      </c>
      <c r="C601" s="37" t="s">
        <v>254</v>
      </c>
      <c r="D601" s="103">
        <v>171</v>
      </c>
      <c r="E601" s="122">
        <v>2194019</v>
      </c>
      <c r="F601" s="122">
        <v>1998085</v>
      </c>
      <c r="G601" s="227" t="s">
        <v>457</v>
      </c>
      <c r="H601" s="122">
        <v>195934</v>
      </c>
      <c r="I601" s="199">
        <v>0</v>
      </c>
      <c r="J601" s="199">
        <v>0</v>
      </c>
      <c r="K601" s="199">
        <v>0</v>
      </c>
      <c r="L601" s="122">
        <v>195934</v>
      </c>
    </row>
    <row r="602" spans="1:12" ht="30" customHeight="1" x14ac:dyDescent="0.2">
      <c r="A602" s="103" t="s">
        <v>131</v>
      </c>
      <c r="B602" s="198" t="s">
        <v>255</v>
      </c>
      <c r="C602" s="37" t="s">
        <v>256</v>
      </c>
      <c r="D602" s="103">
        <v>258</v>
      </c>
      <c r="E602" s="122">
        <v>3252118</v>
      </c>
      <c r="F602" s="122">
        <v>2699148</v>
      </c>
      <c r="G602" s="227" t="s">
        <v>457</v>
      </c>
      <c r="H602" s="122">
        <v>552970</v>
      </c>
      <c r="I602" s="122">
        <v>1</v>
      </c>
      <c r="J602" s="199">
        <v>0</v>
      </c>
      <c r="K602" s="122">
        <v>1</v>
      </c>
      <c r="L602" s="122">
        <v>552969</v>
      </c>
    </row>
    <row r="603" spans="1:12" ht="15" customHeight="1" x14ac:dyDescent="0.2">
      <c r="A603" s="103" t="s">
        <v>131</v>
      </c>
      <c r="B603" s="198" t="s">
        <v>287</v>
      </c>
      <c r="C603" s="37" t="s">
        <v>288</v>
      </c>
      <c r="D603" s="103">
        <v>228</v>
      </c>
      <c r="E603" s="122">
        <v>47447</v>
      </c>
      <c r="F603" s="122">
        <v>12735</v>
      </c>
      <c r="G603" s="227" t="s">
        <v>457</v>
      </c>
      <c r="H603" s="122">
        <v>34712</v>
      </c>
      <c r="I603" s="199">
        <v>0</v>
      </c>
      <c r="J603" s="199">
        <v>0</v>
      </c>
      <c r="K603" s="199">
        <v>0</v>
      </c>
      <c r="L603" s="122">
        <v>34712</v>
      </c>
    </row>
    <row r="604" spans="1:12" ht="15" customHeight="1" x14ac:dyDescent="0.2">
      <c r="A604" s="103" t="s">
        <v>131</v>
      </c>
      <c r="B604" s="198" t="s">
        <v>312</v>
      </c>
      <c r="C604" s="37" t="s">
        <v>313</v>
      </c>
      <c r="D604" s="103">
        <v>58</v>
      </c>
      <c r="E604" s="122">
        <v>3358948</v>
      </c>
      <c r="F604" s="122">
        <v>3271536</v>
      </c>
      <c r="G604" s="227" t="s">
        <v>457</v>
      </c>
      <c r="H604" s="122">
        <v>87412</v>
      </c>
      <c r="I604" s="122">
        <v>2</v>
      </c>
      <c r="J604" s="199">
        <v>0</v>
      </c>
      <c r="K604" s="122">
        <v>2</v>
      </c>
      <c r="L604" s="122">
        <v>87410</v>
      </c>
    </row>
    <row r="605" spans="1:12" ht="15" customHeight="1" x14ac:dyDescent="0.2">
      <c r="A605" s="103" t="s">
        <v>131</v>
      </c>
      <c r="B605" s="198" t="s">
        <v>289</v>
      </c>
      <c r="C605" s="37" t="s">
        <v>290</v>
      </c>
      <c r="D605" s="103">
        <v>308</v>
      </c>
      <c r="E605" s="122">
        <v>124119</v>
      </c>
      <c r="F605" s="122">
        <v>55815</v>
      </c>
      <c r="G605" s="227" t="s">
        <v>457</v>
      </c>
      <c r="H605" s="122">
        <v>68304</v>
      </c>
      <c r="I605" s="199">
        <v>0</v>
      </c>
      <c r="J605" s="199">
        <v>0</v>
      </c>
      <c r="K605" s="199">
        <v>0</v>
      </c>
      <c r="L605" s="122">
        <v>68304</v>
      </c>
    </row>
    <row r="606" spans="1:12" ht="15" customHeight="1" x14ac:dyDescent="0.2">
      <c r="A606" s="103" t="s">
        <v>131</v>
      </c>
      <c r="B606" s="198" t="s">
        <v>257</v>
      </c>
      <c r="C606" s="37" t="s">
        <v>239</v>
      </c>
      <c r="D606" s="103">
        <v>260</v>
      </c>
      <c r="E606" s="122">
        <v>19376634</v>
      </c>
      <c r="F606" s="122">
        <v>17627080</v>
      </c>
      <c r="G606" s="227" t="s">
        <v>457</v>
      </c>
      <c r="H606" s="122">
        <v>1749554</v>
      </c>
      <c r="I606" s="122">
        <v>1086531</v>
      </c>
      <c r="J606" s="122">
        <v>1086531</v>
      </c>
      <c r="K606" s="199">
        <v>0</v>
      </c>
      <c r="L606" s="122">
        <v>1749554</v>
      </c>
    </row>
    <row r="607" spans="1:12" ht="15" customHeight="1" x14ac:dyDescent="0.2">
      <c r="A607" s="103" t="s">
        <v>131</v>
      </c>
      <c r="B607" s="198" t="s">
        <v>271</v>
      </c>
      <c r="C607" s="37" t="s">
        <v>272</v>
      </c>
      <c r="D607" s="103">
        <v>346</v>
      </c>
      <c r="E607" s="122">
        <v>9782</v>
      </c>
      <c r="F607" s="122">
        <v>8596</v>
      </c>
      <c r="G607" s="227" t="s">
        <v>457</v>
      </c>
      <c r="H607" s="122">
        <v>1186</v>
      </c>
      <c r="I607" s="199">
        <v>0</v>
      </c>
      <c r="J607" s="199">
        <v>0</v>
      </c>
      <c r="K607" s="199">
        <v>0</v>
      </c>
      <c r="L607" s="122">
        <v>1186</v>
      </c>
    </row>
    <row r="608" spans="1:12" ht="15" customHeight="1" x14ac:dyDescent="0.2">
      <c r="A608" s="103" t="s">
        <v>131</v>
      </c>
      <c r="B608" s="198" t="s">
        <v>260</v>
      </c>
      <c r="C608" s="37" t="s">
        <v>261</v>
      </c>
      <c r="D608" s="103">
        <v>351</v>
      </c>
      <c r="E608" s="122">
        <v>91173</v>
      </c>
      <c r="F608" s="122">
        <v>85157</v>
      </c>
      <c r="G608" s="227" t="s">
        <v>457</v>
      </c>
      <c r="H608" s="122">
        <v>6016</v>
      </c>
      <c r="I608" s="199">
        <v>0</v>
      </c>
      <c r="J608" s="199">
        <v>0</v>
      </c>
      <c r="K608" s="199">
        <v>0</v>
      </c>
      <c r="L608" s="122">
        <v>6016</v>
      </c>
    </row>
    <row r="609" spans="1:12" ht="15" customHeight="1" x14ac:dyDescent="0.2">
      <c r="A609" s="206" t="s">
        <v>386</v>
      </c>
      <c r="B609" s="228" t="s">
        <v>457</v>
      </c>
      <c r="C609" s="228" t="s">
        <v>457</v>
      </c>
      <c r="D609" s="228" t="s">
        <v>457</v>
      </c>
      <c r="E609" s="117">
        <f>SUBTOTAL(109,school200708[Program
Costs])</f>
        <v>479521182</v>
      </c>
      <c r="F609" s="117">
        <f>SUBTOTAL(109,school200708[Less: Net
 Payments and 
Offsets 2])</f>
        <v>392806553</v>
      </c>
      <c r="G609" s="228" t="s">
        <v>457</v>
      </c>
      <c r="H609" s="117">
        <f>SUBTOTAL(109,school200708[Accounts Payable
Balance])</f>
        <v>86714629</v>
      </c>
      <c r="I609" s="117">
        <f>SUBTOTAL(109,school200708[Established
Accounts Receivable])</f>
        <v>1087600</v>
      </c>
      <c r="J609" s="117">
        <f>SUBTOTAL(109,school200708[Less: 
Recovered 
Amount])</f>
        <v>1086573</v>
      </c>
      <c r="K609" s="117">
        <f>SUBTOTAL(109,school200708[Accounts Receivable
Balance])</f>
        <v>1027</v>
      </c>
      <c r="L609" s="117">
        <f>SUBTOTAL(109,school200708[Net
Balance])</f>
        <v>86713602</v>
      </c>
    </row>
    <row r="610" spans="1:12" x14ac:dyDescent="0.2">
      <c r="A610" s="169" t="s">
        <v>463</v>
      </c>
      <c r="B610" s="198"/>
      <c r="C610" s="37"/>
      <c r="D610" s="103"/>
      <c r="E610" s="122"/>
      <c r="F610" s="122"/>
      <c r="G610" s="122"/>
      <c r="H610" s="122"/>
      <c r="I610" s="122"/>
      <c r="J610" s="122"/>
      <c r="K610" s="122"/>
      <c r="L610" s="122"/>
    </row>
    <row r="611" spans="1:12" ht="50.1" customHeight="1" x14ac:dyDescent="0.2">
      <c r="A611" s="40" t="s">
        <v>1</v>
      </c>
      <c r="B611" s="40" t="s">
        <v>15</v>
      </c>
      <c r="C611" s="40" t="s">
        <v>16</v>
      </c>
      <c r="D611" s="40" t="s">
        <v>454</v>
      </c>
      <c r="E611" s="230" t="s">
        <v>3</v>
      </c>
      <c r="F611" s="231" t="s">
        <v>592</v>
      </c>
      <c r="G611" s="232" t="s">
        <v>462</v>
      </c>
      <c r="H611" s="230" t="s">
        <v>461</v>
      </c>
      <c r="I611" s="197" t="s">
        <v>460</v>
      </c>
      <c r="J611" s="230" t="s">
        <v>459</v>
      </c>
      <c r="K611" s="230" t="s">
        <v>458</v>
      </c>
      <c r="L611" s="230" t="s">
        <v>17</v>
      </c>
    </row>
    <row r="612" spans="1:12" ht="15" customHeight="1" x14ac:dyDescent="0.2">
      <c r="A612" s="103" t="s">
        <v>136</v>
      </c>
      <c r="B612" s="198" t="s">
        <v>277</v>
      </c>
      <c r="C612" s="37" t="s">
        <v>278</v>
      </c>
      <c r="D612" s="103">
        <v>305</v>
      </c>
      <c r="E612" s="122">
        <v>110375</v>
      </c>
      <c r="F612" s="122">
        <v>106797</v>
      </c>
      <c r="G612" s="227" t="s">
        <v>457</v>
      </c>
      <c r="H612" s="122">
        <v>3578</v>
      </c>
      <c r="I612" s="199">
        <v>0</v>
      </c>
      <c r="J612" s="199">
        <v>0</v>
      </c>
      <c r="K612" s="199">
        <v>0</v>
      </c>
      <c r="L612" s="122">
        <v>3578</v>
      </c>
    </row>
    <row r="613" spans="1:12" ht="15" customHeight="1" x14ac:dyDescent="0.2">
      <c r="A613" s="103" t="s">
        <v>136</v>
      </c>
      <c r="B613" s="198" t="s">
        <v>213</v>
      </c>
      <c r="C613" s="37" t="s">
        <v>214</v>
      </c>
      <c r="D613" s="103">
        <v>269</v>
      </c>
      <c r="E613" s="122">
        <v>6011</v>
      </c>
      <c r="F613" s="122">
        <v>4843</v>
      </c>
      <c r="G613" s="227" t="s">
        <v>457</v>
      </c>
      <c r="H613" s="122">
        <v>1168</v>
      </c>
      <c r="I613" s="199">
        <v>0</v>
      </c>
      <c r="J613" s="199">
        <v>0</v>
      </c>
      <c r="K613" s="199">
        <v>0</v>
      </c>
      <c r="L613" s="122">
        <v>1168</v>
      </c>
    </row>
    <row r="614" spans="1:12" ht="15" customHeight="1" x14ac:dyDescent="0.2">
      <c r="A614" s="103" t="s">
        <v>136</v>
      </c>
      <c r="B614" s="198" t="s">
        <v>217</v>
      </c>
      <c r="C614" s="37" t="s">
        <v>218</v>
      </c>
      <c r="D614" s="103">
        <v>250</v>
      </c>
      <c r="E614" s="122">
        <v>1560401</v>
      </c>
      <c r="F614" s="122">
        <v>1454516</v>
      </c>
      <c r="G614" s="227" t="s">
        <v>457</v>
      </c>
      <c r="H614" s="122">
        <v>105885</v>
      </c>
      <c r="I614" s="122">
        <v>54327</v>
      </c>
      <c r="J614" s="122">
        <v>52385</v>
      </c>
      <c r="K614" s="122">
        <v>1942</v>
      </c>
      <c r="L614" s="122">
        <v>103943</v>
      </c>
    </row>
    <row r="615" spans="1:12" ht="30" customHeight="1" x14ac:dyDescent="0.2">
      <c r="A615" s="103" t="s">
        <v>136</v>
      </c>
      <c r="B615" s="198" t="s">
        <v>300</v>
      </c>
      <c r="C615" s="37" t="s">
        <v>296</v>
      </c>
      <c r="D615" s="103">
        <v>348</v>
      </c>
      <c r="E615" s="122">
        <v>50727286</v>
      </c>
      <c r="F615" s="122">
        <v>43697065</v>
      </c>
      <c r="G615" s="227" t="s">
        <v>457</v>
      </c>
      <c r="H615" s="122">
        <v>7030221</v>
      </c>
      <c r="I615" s="199">
        <v>0</v>
      </c>
      <c r="J615" s="199">
        <v>0</v>
      </c>
      <c r="K615" s="199">
        <v>0</v>
      </c>
      <c r="L615" s="122">
        <v>7030221</v>
      </c>
    </row>
    <row r="616" spans="1:12" ht="30" customHeight="1" x14ac:dyDescent="0.2">
      <c r="A616" s="103" t="s">
        <v>136</v>
      </c>
      <c r="B616" s="198" t="s">
        <v>215</v>
      </c>
      <c r="C616" s="37" t="s">
        <v>216</v>
      </c>
      <c r="D616" s="103">
        <v>286</v>
      </c>
      <c r="E616" s="122">
        <v>87725</v>
      </c>
      <c r="F616" s="122">
        <v>61922</v>
      </c>
      <c r="G616" s="227" t="s">
        <v>457</v>
      </c>
      <c r="H616" s="122">
        <v>25803</v>
      </c>
      <c r="I616" s="199">
        <v>0</v>
      </c>
      <c r="J616" s="199">
        <v>0</v>
      </c>
      <c r="K616" s="199">
        <v>0</v>
      </c>
      <c r="L616" s="122">
        <v>25803</v>
      </c>
    </row>
    <row r="617" spans="1:12" ht="30" customHeight="1" x14ac:dyDescent="0.2">
      <c r="A617" s="103" t="s">
        <v>136</v>
      </c>
      <c r="B617" s="198" t="s">
        <v>221</v>
      </c>
      <c r="C617" s="37" t="s">
        <v>222</v>
      </c>
      <c r="D617" s="103">
        <v>172</v>
      </c>
      <c r="E617" s="122">
        <v>713312</v>
      </c>
      <c r="F617" s="122">
        <v>650007</v>
      </c>
      <c r="G617" s="227" t="s">
        <v>457</v>
      </c>
      <c r="H617" s="122">
        <v>63305</v>
      </c>
      <c r="I617" s="122">
        <v>28693</v>
      </c>
      <c r="J617" s="122">
        <v>15027</v>
      </c>
      <c r="K617" s="122">
        <v>13666</v>
      </c>
      <c r="L617" s="122">
        <v>49639</v>
      </c>
    </row>
    <row r="618" spans="1:12" ht="15" customHeight="1" x14ac:dyDescent="0.2">
      <c r="A618" s="103" t="s">
        <v>136</v>
      </c>
      <c r="B618" s="198" t="s">
        <v>323</v>
      </c>
      <c r="C618" s="37" t="s">
        <v>324</v>
      </c>
      <c r="D618" s="103">
        <v>249</v>
      </c>
      <c r="E618" s="122">
        <v>2310086</v>
      </c>
      <c r="F618" s="122">
        <v>2072028</v>
      </c>
      <c r="G618" s="227" t="s">
        <v>457</v>
      </c>
      <c r="H618" s="122">
        <v>238058</v>
      </c>
      <c r="I618" s="122">
        <v>20038</v>
      </c>
      <c r="J618" s="122">
        <v>20038</v>
      </c>
      <c r="K618" s="199">
        <v>0</v>
      </c>
      <c r="L618" s="122">
        <v>238058</v>
      </c>
    </row>
    <row r="619" spans="1:12" ht="15" customHeight="1" x14ac:dyDescent="0.2">
      <c r="A619" s="103" t="s">
        <v>136</v>
      </c>
      <c r="B619" s="198" t="s">
        <v>325</v>
      </c>
      <c r="C619" s="37" t="s">
        <v>324</v>
      </c>
      <c r="D619" s="103">
        <v>277</v>
      </c>
      <c r="E619" s="122">
        <v>84983</v>
      </c>
      <c r="F619" s="122">
        <v>83679</v>
      </c>
      <c r="G619" s="227" t="s">
        <v>457</v>
      </c>
      <c r="H619" s="122">
        <v>1304</v>
      </c>
      <c r="I619" s="199">
        <v>0</v>
      </c>
      <c r="J619" s="199">
        <v>0</v>
      </c>
      <c r="K619" s="199">
        <v>0</v>
      </c>
      <c r="L619" s="122">
        <v>1304</v>
      </c>
    </row>
    <row r="620" spans="1:12" ht="30" customHeight="1" x14ac:dyDescent="0.2">
      <c r="A620" s="103" t="s">
        <v>136</v>
      </c>
      <c r="B620" s="198" t="s">
        <v>195</v>
      </c>
      <c r="C620" s="37" t="s">
        <v>196</v>
      </c>
      <c r="D620" s="103">
        <v>11</v>
      </c>
      <c r="E620" s="122">
        <v>27712461</v>
      </c>
      <c r="F620" s="122">
        <v>25951794</v>
      </c>
      <c r="G620" s="227" t="s">
        <v>457</v>
      </c>
      <c r="H620" s="122">
        <v>1760667</v>
      </c>
      <c r="I620" s="122">
        <v>147591</v>
      </c>
      <c r="J620" s="122">
        <v>118837</v>
      </c>
      <c r="K620" s="122">
        <v>28754</v>
      </c>
      <c r="L620" s="122">
        <v>1731913</v>
      </c>
    </row>
    <row r="621" spans="1:12" ht="15" customHeight="1" x14ac:dyDescent="0.2">
      <c r="A621" s="103" t="s">
        <v>136</v>
      </c>
      <c r="B621" s="198" t="s">
        <v>316</v>
      </c>
      <c r="C621" s="37" t="s">
        <v>224</v>
      </c>
      <c r="D621" s="103">
        <v>223</v>
      </c>
      <c r="E621" s="122">
        <v>3840616</v>
      </c>
      <c r="F621" s="122">
        <v>3651128</v>
      </c>
      <c r="G621" s="227" t="s">
        <v>457</v>
      </c>
      <c r="H621" s="122">
        <v>189488</v>
      </c>
      <c r="I621" s="122">
        <v>93330</v>
      </c>
      <c r="J621" s="122">
        <v>46371</v>
      </c>
      <c r="K621" s="122">
        <v>46959</v>
      </c>
      <c r="L621" s="122">
        <v>142529</v>
      </c>
    </row>
    <row r="622" spans="1:12" ht="30" customHeight="1" x14ac:dyDescent="0.2">
      <c r="A622" s="103" t="s">
        <v>136</v>
      </c>
      <c r="B622" s="198" t="s">
        <v>227</v>
      </c>
      <c r="C622" s="37" t="s">
        <v>228</v>
      </c>
      <c r="D622" s="103">
        <v>272</v>
      </c>
      <c r="E622" s="122">
        <v>9087987</v>
      </c>
      <c r="F622" s="122">
        <v>8656133</v>
      </c>
      <c r="G622" s="227" t="s">
        <v>457</v>
      </c>
      <c r="H622" s="122">
        <v>431854</v>
      </c>
      <c r="I622" s="122">
        <v>55256</v>
      </c>
      <c r="J622" s="122">
        <v>49366</v>
      </c>
      <c r="K622" s="122">
        <v>5890</v>
      </c>
      <c r="L622" s="122">
        <v>425964</v>
      </c>
    </row>
    <row r="623" spans="1:12" ht="45" x14ac:dyDescent="0.2">
      <c r="A623" s="103" t="s">
        <v>136</v>
      </c>
      <c r="B623" s="198" t="s">
        <v>319</v>
      </c>
      <c r="C623" s="37" t="s">
        <v>320</v>
      </c>
      <c r="D623" s="103">
        <v>291</v>
      </c>
      <c r="E623" s="122">
        <v>215949</v>
      </c>
      <c r="F623" s="122">
        <v>138573</v>
      </c>
      <c r="G623" s="227" t="s">
        <v>457</v>
      </c>
      <c r="H623" s="122">
        <v>77376</v>
      </c>
      <c r="I623" s="199">
        <v>0</v>
      </c>
      <c r="J623" s="199">
        <v>0</v>
      </c>
      <c r="K623" s="199">
        <v>0</v>
      </c>
      <c r="L623" s="122">
        <v>77376</v>
      </c>
    </row>
    <row r="624" spans="1:12" ht="30" customHeight="1" x14ac:dyDescent="0.2">
      <c r="A624" s="103" t="s">
        <v>136</v>
      </c>
      <c r="B624" s="198" t="s">
        <v>233</v>
      </c>
      <c r="C624" s="37" t="s">
        <v>234</v>
      </c>
      <c r="D624" s="103">
        <v>209</v>
      </c>
      <c r="E624" s="122">
        <v>271074</v>
      </c>
      <c r="F624" s="122">
        <v>209349</v>
      </c>
      <c r="G624" s="227" t="s">
        <v>457</v>
      </c>
      <c r="H624" s="122">
        <v>61725</v>
      </c>
      <c r="I624" s="122">
        <v>15158</v>
      </c>
      <c r="J624" s="122">
        <v>15158</v>
      </c>
      <c r="K624" s="199">
        <v>0</v>
      </c>
      <c r="L624" s="122">
        <v>61725</v>
      </c>
    </row>
    <row r="625" spans="1:12" ht="15" customHeight="1" x14ac:dyDescent="0.2">
      <c r="A625" s="103" t="s">
        <v>136</v>
      </c>
      <c r="B625" s="198" t="s">
        <v>235</v>
      </c>
      <c r="C625" s="37" t="s">
        <v>236</v>
      </c>
      <c r="D625" s="103">
        <v>183</v>
      </c>
      <c r="E625" s="122">
        <v>814197</v>
      </c>
      <c r="F625" s="122">
        <v>747791</v>
      </c>
      <c r="G625" s="227" t="s">
        <v>457</v>
      </c>
      <c r="H625" s="122">
        <v>66406</v>
      </c>
      <c r="I625" s="122">
        <v>40116</v>
      </c>
      <c r="J625" s="122">
        <v>39635</v>
      </c>
      <c r="K625" s="122">
        <v>481</v>
      </c>
      <c r="L625" s="122">
        <v>65925</v>
      </c>
    </row>
    <row r="626" spans="1:12" ht="15" customHeight="1" x14ac:dyDescent="0.2">
      <c r="A626" s="103" t="s">
        <v>136</v>
      </c>
      <c r="B626" s="198" t="s">
        <v>264</v>
      </c>
      <c r="C626" s="37" t="s">
        <v>265</v>
      </c>
      <c r="D626" s="103">
        <v>251</v>
      </c>
      <c r="E626" s="122">
        <v>550864</v>
      </c>
      <c r="F626" s="122">
        <v>508168</v>
      </c>
      <c r="G626" s="227" t="s">
        <v>457</v>
      </c>
      <c r="H626" s="122">
        <v>42696</v>
      </c>
      <c r="I626" s="122">
        <v>6681</v>
      </c>
      <c r="J626" s="122">
        <v>4892</v>
      </c>
      <c r="K626" s="122">
        <v>1789</v>
      </c>
      <c r="L626" s="122">
        <v>40907</v>
      </c>
    </row>
    <row r="627" spans="1:12" ht="15" customHeight="1" x14ac:dyDescent="0.2">
      <c r="A627" s="103" t="s">
        <v>136</v>
      </c>
      <c r="B627" s="198" t="s">
        <v>326</v>
      </c>
      <c r="C627" s="37" t="s">
        <v>327</v>
      </c>
      <c r="D627" s="103">
        <v>253</v>
      </c>
      <c r="E627" s="122">
        <v>2919</v>
      </c>
      <c r="F627" s="122">
        <v>2919</v>
      </c>
      <c r="G627" s="227" t="s">
        <v>457</v>
      </c>
      <c r="H627" s="199">
        <v>0</v>
      </c>
      <c r="I627" s="122">
        <v>1262</v>
      </c>
      <c r="J627" s="199">
        <v>0</v>
      </c>
      <c r="K627" s="122">
        <v>1262</v>
      </c>
      <c r="L627" s="122">
        <v>-1262</v>
      </c>
    </row>
    <row r="628" spans="1:12" ht="15" customHeight="1" x14ac:dyDescent="0.2">
      <c r="A628" s="103" t="s">
        <v>136</v>
      </c>
      <c r="B628" s="198" t="s">
        <v>281</v>
      </c>
      <c r="C628" s="37" t="s">
        <v>226</v>
      </c>
      <c r="D628" s="103">
        <v>91</v>
      </c>
      <c r="E628" s="122">
        <v>14079</v>
      </c>
      <c r="F628" s="122">
        <v>12534</v>
      </c>
      <c r="G628" s="227" t="s">
        <v>457</v>
      </c>
      <c r="H628" s="122">
        <v>1545</v>
      </c>
      <c r="I628" s="199">
        <v>0</v>
      </c>
      <c r="J628" s="199">
        <v>0</v>
      </c>
      <c r="K628" s="199">
        <v>0</v>
      </c>
      <c r="L628" s="122">
        <v>1545</v>
      </c>
    </row>
    <row r="629" spans="1:12" ht="15" customHeight="1" x14ac:dyDescent="0.2">
      <c r="A629" s="103" t="s">
        <v>136</v>
      </c>
      <c r="B629" s="198" t="s">
        <v>237</v>
      </c>
      <c r="C629" s="37" t="s">
        <v>208</v>
      </c>
      <c r="D629" s="103">
        <v>192</v>
      </c>
      <c r="E629" s="122">
        <v>386700</v>
      </c>
      <c r="F629" s="122">
        <v>337072</v>
      </c>
      <c r="G629" s="227" t="s">
        <v>457</v>
      </c>
      <c r="H629" s="122">
        <v>49628</v>
      </c>
      <c r="I629" s="122">
        <v>16641</v>
      </c>
      <c r="J629" s="122">
        <v>15516</v>
      </c>
      <c r="K629" s="122">
        <v>1125</v>
      </c>
      <c r="L629" s="122">
        <v>48503</v>
      </c>
    </row>
    <row r="630" spans="1:12" ht="15" customHeight="1" x14ac:dyDescent="0.2">
      <c r="A630" s="103" t="s">
        <v>136</v>
      </c>
      <c r="B630" s="198" t="s">
        <v>321</v>
      </c>
      <c r="C630" s="37" t="s">
        <v>239</v>
      </c>
      <c r="D630" s="103">
        <v>26</v>
      </c>
      <c r="E630" s="122">
        <v>65296715</v>
      </c>
      <c r="F630" s="122">
        <v>59462481</v>
      </c>
      <c r="G630" s="227" t="s">
        <v>457</v>
      </c>
      <c r="H630" s="122">
        <v>5834234</v>
      </c>
      <c r="I630" s="122">
        <v>484254</v>
      </c>
      <c r="J630" s="122">
        <v>19323</v>
      </c>
      <c r="K630" s="122">
        <v>464931</v>
      </c>
      <c r="L630" s="122">
        <v>5369303</v>
      </c>
    </row>
    <row r="631" spans="1:12" ht="15" customHeight="1" x14ac:dyDescent="0.2">
      <c r="A631" s="103" t="s">
        <v>136</v>
      </c>
      <c r="B631" s="198" t="s">
        <v>238</v>
      </c>
      <c r="C631" s="37" t="s">
        <v>239</v>
      </c>
      <c r="D631" s="103">
        <v>297</v>
      </c>
      <c r="E631" s="122">
        <v>173189364</v>
      </c>
      <c r="F631" s="122">
        <v>139389904</v>
      </c>
      <c r="G631" s="227" t="s">
        <v>457</v>
      </c>
      <c r="H631" s="122">
        <v>33799460</v>
      </c>
      <c r="I631" s="199">
        <v>0</v>
      </c>
      <c r="J631" s="199">
        <v>0</v>
      </c>
      <c r="K631" s="199">
        <v>0</v>
      </c>
      <c r="L631" s="122">
        <v>33799460</v>
      </c>
    </row>
    <row r="632" spans="1:12" ht="15" customHeight="1" x14ac:dyDescent="0.2">
      <c r="A632" s="103" t="s">
        <v>136</v>
      </c>
      <c r="B632" s="198" t="s">
        <v>240</v>
      </c>
      <c r="C632" s="37" t="s">
        <v>241</v>
      </c>
      <c r="D632" s="103">
        <v>166</v>
      </c>
      <c r="E632" s="122">
        <v>8049732</v>
      </c>
      <c r="F632" s="122">
        <v>7094812</v>
      </c>
      <c r="G632" s="227" t="s">
        <v>457</v>
      </c>
      <c r="H632" s="122">
        <v>954920</v>
      </c>
      <c r="I632" s="122">
        <v>69622</v>
      </c>
      <c r="J632" s="122">
        <v>49468</v>
      </c>
      <c r="K632" s="122">
        <v>20154</v>
      </c>
      <c r="L632" s="122">
        <v>934766</v>
      </c>
    </row>
    <row r="633" spans="1:12" ht="15" customHeight="1" x14ac:dyDescent="0.2">
      <c r="A633" s="103" t="s">
        <v>136</v>
      </c>
      <c r="B633" s="198" t="s">
        <v>282</v>
      </c>
      <c r="C633" s="37" t="s">
        <v>283</v>
      </c>
      <c r="D633" s="103">
        <v>268</v>
      </c>
      <c r="E633" s="122">
        <v>6474647</v>
      </c>
      <c r="F633" s="122">
        <v>5139413</v>
      </c>
      <c r="G633" s="227" t="s">
        <v>457</v>
      </c>
      <c r="H633" s="122">
        <v>1335234</v>
      </c>
      <c r="I633" s="199">
        <v>0</v>
      </c>
      <c r="J633" s="199">
        <v>0</v>
      </c>
      <c r="K633" s="199">
        <v>0</v>
      </c>
      <c r="L633" s="122">
        <v>1335234</v>
      </c>
    </row>
    <row r="634" spans="1:12" ht="15" customHeight="1" x14ac:dyDescent="0.2">
      <c r="A634" s="103" t="s">
        <v>136</v>
      </c>
      <c r="B634" s="198" t="s">
        <v>242</v>
      </c>
      <c r="C634" s="37" t="s">
        <v>243</v>
      </c>
      <c r="D634" s="103">
        <v>32</v>
      </c>
      <c r="E634" s="122">
        <v>4151507</v>
      </c>
      <c r="F634" s="122">
        <v>4077222</v>
      </c>
      <c r="G634" s="227" t="s">
        <v>457</v>
      </c>
      <c r="H634" s="122">
        <v>74285</v>
      </c>
      <c r="I634" s="122">
        <v>1352</v>
      </c>
      <c r="J634" s="122">
        <v>912</v>
      </c>
      <c r="K634" s="122">
        <v>440</v>
      </c>
      <c r="L634" s="122">
        <v>73845</v>
      </c>
    </row>
    <row r="635" spans="1:12" ht="15" customHeight="1" x14ac:dyDescent="0.2">
      <c r="A635" s="103" t="s">
        <v>136</v>
      </c>
      <c r="B635" s="198" t="s">
        <v>297</v>
      </c>
      <c r="C635" s="37" t="s">
        <v>245</v>
      </c>
      <c r="D635" s="103">
        <v>230</v>
      </c>
      <c r="E635" s="122">
        <v>5373701</v>
      </c>
      <c r="F635" s="122">
        <v>5309206</v>
      </c>
      <c r="G635" s="227" t="s">
        <v>457</v>
      </c>
      <c r="H635" s="122">
        <v>64495</v>
      </c>
      <c r="I635" s="122">
        <v>10680</v>
      </c>
      <c r="J635" s="122">
        <v>8110</v>
      </c>
      <c r="K635" s="122">
        <v>2570</v>
      </c>
      <c r="L635" s="122">
        <v>61925</v>
      </c>
    </row>
    <row r="636" spans="1:12" ht="15" customHeight="1" x14ac:dyDescent="0.2">
      <c r="A636" s="103" t="s">
        <v>136</v>
      </c>
      <c r="B636" s="198" t="s">
        <v>284</v>
      </c>
      <c r="C636" s="37" t="s">
        <v>285</v>
      </c>
      <c r="D636" s="103">
        <v>148</v>
      </c>
      <c r="E636" s="122">
        <v>17124</v>
      </c>
      <c r="F636" s="122">
        <v>6568</v>
      </c>
      <c r="G636" s="227" t="s">
        <v>457</v>
      </c>
      <c r="H636" s="122">
        <v>10556</v>
      </c>
      <c r="I636" s="199">
        <v>0</v>
      </c>
      <c r="J636" s="199">
        <v>0</v>
      </c>
      <c r="K636" s="199">
        <v>0</v>
      </c>
      <c r="L636" s="122">
        <v>10556</v>
      </c>
    </row>
    <row r="637" spans="1:12" ht="15" customHeight="1" x14ac:dyDescent="0.2">
      <c r="A637" s="103" t="s">
        <v>136</v>
      </c>
      <c r="B637" s="198" t="s">
        <v>248</v>
      </c>
      <c r="C637" s="37" t="s">
        <v>249</v>
      </c>
      <c r="D637" s="103">
        <v>153</v>
      </c>
      <c r="E637" s="122">
        <v>4509810</v>
      </c>
      <c r="F637" s="122">
        <v>4361183</v>
      </c>
      <c r="G637" s="227" t="s">
        <v>457</v>
      </c>
      <c r="H637" s="122">
        <v>148627</v>
      </c>
      <c r="I637" s="122">
        <v>65813</v>
      </c>
      <c r="J637" s="122">
        <v>59790</v>
      </c>
      <c r="K637" s="122">
        <v>6023</v>
      </c>
      <c r="L637" s="122">
        <v>142604</v>
      </c>
    </row>
    <row r="638" spans="1:12" ht="15" customHeight="1" x14ac:dyDescent="0.2">
      <c r="A638" s="103" t="s">
        <v>136</v>
      </c>
      <c r="B638" s="198" t="s">
        <v>266</v>
      </c>
      <c r="C638" s="37" t="s">
        <v>267</v>
      </c>
      <c r="D638" s="103">
        <v>155</v>
      </c>
      <c r="E638" s="122">
        <v>1176856</v>
      </c>
      <c r="F638" s="122">
        <v>651415</v>
      </c>
      <c r="G638" s="227" t="s">
        <v>457</v>
      </c>
      <c r="H638" s="122">
        <v>525441</v>
      </c>
      <c r="I638" s="122">
        <v>28652</v>
      </c>
      <c r="J638" s="122">
        <v>27448</v>
      </c>
      <c r="K638" s="122">
        <v>1204</v>
      </c>
      <c r="L638" s="122">
        <v>524237</v>
      </c>
    </row>
    <row r="639" spans="1:12" ht="15" customHeight="1" x14ac:dyDescent="0.2">
      <c r="A639" s="103" t="s">
        <v>136</v>
      </c>
      <c r="B639" s="198" t="s">
        <v>328</v>
      </c>
      <c r="C639" s="37" t="s">
        <v>329</v>
      </c>
      <c r="D639" s="103">
        <v>157</v>
      </c>
      <c r="E639" s="122">
        <v>1656765</v>
      </c>
      <c r="F639" s="122">
        <v>1480782</v>
      </c>
      <c r="G639" s="227" t="s">
        <v>457</v>
      </c>
      <c r="H639" s="122">
        <v>175983</v>
      </c>
      <c r="I639" s="122">
        <v>32178</v>
      </c>
      <c r="J639" s="122">
        <v>30021</v>
      </c>
      <c r="K639" s="122">
        <v>2157</v>
      </c>
      <c r="L639" s="122">
        <v>173826</v>
      </c>
    </row>
    <row r="640" spans="1:12" ht="15" customHeight="1" x14ac:dyDescent="0.2">
      <c r="A640" s="103" t="s">
        <v>136</v>
      </c>
      <c r="B640" s="198" t="s">
        <v>82</v>
      </c>
      <c r="C640" s="37" t="s">
        <v>83</v>
      </c>
      <c r="D640" s="103">
        <v>42</v>
      </c>
      <c r="E640" s="122">
        <v>15540692</v>
      </c>
      <c r="F640" s="122">
        <v>14149028</v>
      </c>
      <c r="G640" s="227" t="s">
        <v>457</v>
      </c>
      <c r="H640" s="122">
        <v>1391664</v>
      </c>
      <c r="I640" s="199">
        <v>0</v>
      </c>
      <c r="J640" s="199">
        <v>0</v>
      </c>
      <c r="K640" s="199">
        <v>0</v>
      </c>
      <c r="L640" s="122">
        <v>1391664</v>
      </c>
    </row>
    <row r="641" spans="1:12" ht="15" customHeight="1" x14ac:dyDescent="0.2">
      <c r="A641" s="103" t="s">
        <v>136</v>
      </c>
      <c r="B641" s="198" t="s">
        <v>330</v>
      </c>
      <c r="C641" s="37" t="s">
        <v>230</v>
      </c>
      <c r="D641" s="103">
        <v>275</v>
      </c>
      <c r="E641" s="122">
        <v>23761</v>
      </c>
      <c r="F641" s="122">
        <v>22690</v>
      </c>
      <c r="G641" s="227" t="s">
        <v>457</v>
      </c>
      <c r="H641" s="122">
        <v>1071</v>
      </c>
      <c r="I641" s="199">
        <v>0</v>
      </c>
      <c r="J641" s="199">
        <v>0</v>
      </c>
      <c r="K641" s="199">
        <v>0</v>
      </c>
      <c r="L641" s="122">
        <v>1071</v>
      </c>
    </row>
    <row r="642" spans="1:12" ht="45" x14ac:dyDescent="0.2">
      <c r="A642" s="103" t="s">
        <v>136</v>
      </c>
      <c r="B642" s="198" t="s">
        <v>317</v>
      </c>
      <c r="C642" s="37" t="s">
        <v>318</v>
      </c>
      <c r="D642" s="103">
        <v>265</v>
      </c>
      <c r="E642" s="122">
        <v>3247854</v>
      </c>
      <c r="F642" s="122">
        <v>3128316</v>
      </c>
      <c r="G642" s="227" t="s">
        <v>457</v>
      </c>
      <c r="H642" s="122">
        <v>119538</v>
      </c>
      <c r="I642" s="199">
        <v>0</v>
      </c>
      <c r="J642" s="199">
        <v>0</v>
      </c>
      <c r="K642" s="199">
        <v>0</v>
      </c>
      <c r="L642" s="122">
        <v>119538</v>
      </c>
    </row>
    <row r="643" spans="1:12" ht="15" customHeight="1" x14ac:dyDescent="0.2">
      <c r="A643" s="103" t="s">
        <v>136</v>
      </c>
      <c r="B643" s="198" t="s">
        <v>250</v>
      </c>
      <c r="C643" s="37" t="s">
        <v>239</v>
      </c>
      <c r="D643" s="103">
        <v>48</v>
      </c>
      <c r="E643" s="122">
        <v>14658917</v>
      </c>
      <c r="F643" s="122">
        <v>13490929</v>
      </c>
      <c r="G643" s="227" t="s">
        <v>457</v>
      </c>
      <c r="H643" s="122">
        <v>1167988</v>
      </c>
      <c r="I643" s="122">
        <v>203988</v>
      </c>
      <c r="J643" s="122">
        <v>199903</v>
      </c>
      <c r="K643" s="122">
        <v>4085</v>
      </c>
      <c r="L643" s="122">
        <v>1163903</v>
      </c>
    </row>
    <row r="644" spans="1:12" ht="30" customHeight="1" x14ac:dyDescent="0.2">
      <c r="A644" s="103" t="s">
        <v>136</v>
      </c>
      <c r="B644" s="198" t="s">
        <v>322</v>
      </c>
      <c r="C644" s="37" t="s">
        <v>232</v>
      </c>
      <c r="D644" s="103">
        <v>150</v>
      </c>
      <c r="E644" s="122">
        <v>6617290</v>
      </c>
      <c r="F644" s="122">
        <v>6100481</v>
      </c>
      <c r="G644" s="227" t="s">
        <v>457</v>
      </c>
      <c r="H644" s="122">
        <v>516809</v>
      </c>
      <c r="I644" s="122">
        <v>60300</v>
      </c>
      <c r="J644" s="122">
        <v>54923</v>
      </c>
      <c r="K644" s="122">
        <v>5377</v>
      </c>
      <c r="L644" s="122">
        <v>511432</v>
      </c>
    </row>
    <row r="645" spans="1:12" ht="15" customHeight="1" x14ac:dyDescent="0.2">
      <c r="A645" s="103" t="s">
        <v>136</v>
      </c>
      <c r="B645" s="198" t="s">
        <v>71</v>
      </c>
      <c r="C645" s="37" t="s">
        <v>72</v>
      </c>
      <c r="D645" s="103">
        <v>218</v>
      </c>
      <c r="E645" s="122">
        <v>3715071</v>
      </c>
      <c r="F645" s="122">
        <v>3238954</v>
      </c>
      <c r="G645" s="227" t="s">
        <v>457</v>
      </c>
      <c r="H645" s="122">
        <v>476117</v>
      </c>
      <c r="I645" s="199">
        <v>0</v>
      </c>
      <c r="J645" s="199">
        <v>0</v>
      </c>
      <c r="K645" s="199">
        <v>0</v>
      </c>
      <c r="L645" s="122">
        <v>476117</v>
      </c>
    </row>
    <row r="646" spans="1:12" ht="15" customHeight="1" x14ac:dyDescent="0.2">
      <c r="A646" s="103" t="s">
        <v>136</v>
      </c>
      <c r="B646" s="198" t="s">
        <v>268</v>
      </c>
      <c r="C646" s="37" t="s">
        <v>269</v>
      </c>
      <c r="D646" s="103">
        <v>173</v>
      </c>
      <c r="E646" s="122">
        <v>1759730</v>
      </c>
      <c r="F646" s="122">
        <v>1759730</v>
      </c>
      <c r="G646" s="227" t="s">
        <v>457</v>
      </c>
      <c r="H646" s="199">
        <v>0</v>
      </c>
      <c r="I646" s="122">
        <v>43451</v>
      </c>
      <c r="J646" s="122">
        <v>38616</v>
      </c>
      <c r="K646" s="122">
        <v>4835</v>
      </c>
      <c r="L646" s="122">
        <v>-4835</v>
      </c>
    </row>
    <row r="647" spans="1:12" ht="45.75" customHeight="1" x14ac:dyDescent="0.2">
      <c r="A647" s="103" t="s">
        <v>136</v>
      </c>
      <c r="B647" s="198" t="s">
        <v>303</v>
      </c>
      <c r="C647" s="37" t="s">
        <v>304</v>
      </c>
      <c r="D647" s="103">
        <v>329</v>
      </c>
      <c r="E647" s="122">
        <v>930860</v>
      </c>
      <c r="F647" s="122">
        <v>831450</v>
      </c>
      <c r="G647" s="227" t="s">
        <v>457</v>
      </c>
      <c r="H647" s="122">
        <v>99410</v>
      </c>
      <c r="I647" s="199">
        <v>0</v>
      </c>
      <c r="J647" s="199">
        <v>0</v>
      </c>
      <c r="K647" s="199">
        <v>0</v>
      </c>
      <c r="L647" s="122">
        <v>99410</v>
      </c>
    </row>
    <row r="648" spans="1:12" ht="30" customHeight="1" x14ac:dyDescent="0.2">
      <c r="A648" s="103" t="s">
        <v>136</v>
      </c>
      <c r="B648" s="198" t="s">
        <v>275</v>
      </c>
      <c r="C648" s="37" t="s">
        <v>276</v>
      </c>
      <c r="D648" s="103">
        <v>261</v>
      </c>
      <c r="E648" s="122">
        <v>814086</v>
      </c>
      <c r="F648" s="122">
        <v>797084</v>
      </c>
      <c r="G648" s="227" t="s">
        <v>457</v>
      </c>
      <c r="H648" s="122">
        <v>17002</v>
      </c>
      <c r="I648" s="122">
        <v>72250</v>
      </c>
      <c r="J648" s="122">
        <v>29296</v>
      </c>
      <c r="K648" s="122">
        <v>42954</v>
      </c>
      <c r="L648" s="122">
        <v>-25952</v>
      </c>
    </row>
    <row r="649" spans="1:12" s="229" customFormat="1" ht="15" customHeight="1" x14ac:dyDescent="0.2">
      <c r="A649" s="103" t="s">
        <v>136</v>
      </c>
      <c r="B649" s="198" t="s">
        <v>270</v>
      </c>
      <c r="C649" s="37" t="s">
        <v>256</v>
      </c>
      <c r="D649" s="103">
        <v>244</v>
      </c>
      <c r="E649" s="122">
        <v>3239841</v>
      </c>
      <c r="F649" s="122">
        <v>3209138</v>
      </c>
      <c r="G649" s="227" t="s">
        <v>457</v>
      </c>
      <c r="H649" s="122">
        <v>30703</v>
      </c>
      <c r="I649" s="122">
        <v>73306</v>
      </c>
      <c r="J649" s="122">
        <v>50579</v>
      </c>
      <c r="K649" s="122">
        <v>22727</v>
      </c>
      <c r="L649" s="122">
        <v>7976</v>
      </c>
    </row>
    <row r="650" spans="1:12" ht="15" customHeight="1" x14ac:dyDescent="0.2">
      <c r="A650" s="103" t="s">
        <v>136</v>
      </c>
      <c r="B650" s="198" t="s">
        <v>314</v>
      </c>
      <c r="C650" s="37" t="s">
        <v>315</v>
      </c>
      <c r="D650" s="103">
        <v>182</v>
      </c>
      <c r="E650" s="122">
        <v>68265</v>
      </c>
      <c r="F650" s="122">
        <v>55179</v>
      </c>
      <c r="G650" s="227" t="s">
        <v>457</v>
      </c>
      <c r="H650" s="122">
        <v>13086</v>
      </c>
      <c r="I650" s="122">
        <v>1388</v>
      </c>
      <c r="J650" s="122">
        <v>1388</v>
      </c>
      <c r="K650" s="199">
        <v>0</v>
      </c>
      <c r="L650" s="122">
        <v>13086</v>
      </c>
    </row>
    <row r="651" spans="1:12" ht="15" customHeight="1" x14ac:dyDescent="0.2">
      <c r="A651" s="103" t="s">
        <v>136</v>
      </c>
      <c r="B651" s="198" t="s">
        <v>286</v>
      </c>
      <c r="C651" s="37" t="s">
        <v>239</v>
      </c>
      <c r="D651" s="103">
        <v>280</v>
      </c>
      <c r="E651" s="122">
        <v>14665</v>
      </c>
      <c r="F651" s="122">
        <v>11241</v>
      </c>
      <c r="G651" s="227" t="s">
        <v>457</v>
      </c>
      <c r="H651" s="122">
        <v>3424</v>
      </c>
      <c r="I651" s="199">
        <v>0</v>
      </c>
      <c r="J651" s="199">
        <v>0</v>
      </c>
      <c r="K651" s="199">
        <v>0</v>
      </c>
      <c r="L651" s="122">
        <v>3424</v>
      </c>
    </row>
    <row r="652" spans="1:12" ht="15" customHeight="1" x14ac:dyDescent="0.2">
      <c r="A652" s="103" t="s">
        <v>136</v>
      </c>
      <c r="B652" s="198" t="s">
        <v>305</v>
      </c>
      <c r="C652" s="37" t="s">
        <v>226</v>
      </c>
      <c r="D652" s="103">
        <v>176</v>
      </c>
      <c r="E652" s="122">
        <v>7230014</v>
      </c>
      <c r="F652" s="122">
        <v>6313475</v>
      </c>
      <c r="G652" s="227" t="s">
        <v>457</v>
      </c>
      <c r="H652" s="122">
        <v>916539</v>
      </c>
      <c r="I652" s="122">
        <v>35024</v>
      </c>
      <c r="J652" s="122">
        <v>25955</v>
      </c>
      <c r="K652" s="122">
        <v>9069</v>
      </c>
      <c r="L652" s="122">
        <v>907470</v>
      </c>
    </row>
    <row r="653" spans="1:12" ht="15" customHeight="1" x14ac:dyDescent="0.2">
      <c r="A653" s="103" t="s">
        <v>136</v>
      </c>
      <c r="B653" s="198" t="s">
        <v>310</v>
      </c>
      <c r="C653" s="37" t="s">
        <v>311</v>
      </c>
      <c r="D653" s="103">
        <v>57</v>
      </c>
      <c r="E653" s="122">
        <v>964299</v>
      </c>
      <c r="F653" s="122">
        <v>880791</v>
      </c>
      <c r="G653" s="227" t="s">
        <v>457</v>
      </c>
      <c r="H653" s="122">
        <v>83508</v>
      </c>
      <c r="I653" s="122">
        <v>14205</v>
      </c>
      <c r="J653" s="122">
        <v>14205</v>
      </c>
      <c r="K653" s="199">
        <v>0</v>
      </c>
      <c r="L653" s="122">
        <v>83508</v>
      </c>
    </row>
    <row r="654" spans="1:12" ht="15" customHeight="1" x14ac:dyDescent="0.2">
      <c r="A654" s="103" t="s">
        <v>136</v>
      </c>
      <c r="B654" s="198" t="s">
        <v>253</v>
      </c>
      <c r="C654" s="37" t="s">
        <v>254</v>
      </c>
      <c r="D654" s="103">
        <v>171</v>
      </c>
      <c r="E654" s="122">
        <v>2196908</v>
      </c>
      <c r="F654" s="122">
        <v>2046608</v>
      </c>
      <c r="G654" s="227" t="s">
        <v>457</v>
      </c>
      <c r="H654" s="122">
        <v>150300</v>
      </c>
      <c r="I654" s="199">
        <v>0</v>
      </c>
      <c r="J654" s="199">
        <v>0</v>
      </c>
      <c r="K654" s="199">
        <v>0</v>
      </c>
      <c r="L654" s="122">
        <v>150300</v>
      </c>
    </row>
    <row r="655" spans="1:12" ht="30" customHeight="1" x14ac:dyDescent="0.2">
      <c r="A655" s="103" t="s">
        <v>136</v>
      </c>
      <c r="B655" s="198" t="s">
        <v>255</v>
      </c>
      <c r="C655" s="37" t="s">
        <v>256</v>
      </c>
      <c r="D655" s="103">
        <v>258</v>
      </c>
      <c r="E655" s="122">
        <v>2759263</v>
      </c>
      <c r="F655" s="122">
        <v>2425375</v>
      </c>
      <c r="G655" s="227" t="s">
        <v>457</v>
      </c>
      <c r="H655" s="122">
        <v>333888</v>
      </c>
      <c r="I655" s="122">
        <v>42825</v>
      </c>
      <c r="J655" s="122">
        <v>40423</v>
      </c>
      <c r="K655" s="122">
        <v>2402</v>
      </c>
      <c r="L655" s="122">
        <v>331486</v>
      </c>
    </row>
    <row r="656" spans="1:12" ht="15" customHeight="1" x14ac:dyDescent="0.2">
      <c r="A656" s="103" t="s">
        <v>136</v>
      </c>
      <c r="B656" s="198" t="s">
        <v>287</v>
      </c>
      <c r="C656" s="37" t="s">
        <v>288</v>
      </c>
      <c r="D656" s="103">
        <v>228</v>
      </c>
      <c r="E656" s="122">
        <v>14952</v>
      </c>
      <c r="F656" s="122">
        <v>6939</v>
      </c>
      <c r="G656" s="227" t="s">
        <v>457</v>
      </c>
      <c r="H656" s="122">
        <v>8013</v>
      </c>
      <c r="I656" s="199">
        <v>0</v>
      </c>
      <c r="J656" s="199">
        <v>0</v>
      </c>
      <c r="K656" s="199">
        <v>0</v>
      </c>
      <c r="L656" s="122">
        <v>8013</v>
      </c>
    </row>
    <row r="657" spans="1:12" ht="15" customHeight="1" x14ac:dyDescent="0.2">
      <c r="A657" s="103" t="s">
        <v>136</v>
      </c>
      <c r="B657" s="198" t="s">
        <v>312</v>
      </c>
      <c r="C657" s="37" t="s">
        <v>313</v>
      </c>
      <c r="D657" s="103">
        <v>58</v>
      </c>
      <c r="E657" s="122">
        <v>3087850</v>
      </c>
      <c r="F657" s="122">
        <v>3059030</v>
      </c>
      <c r="G657" s="227" t="s">
        <v>457</v>
      </c>
      <c r="H657" s="122">
        <v>28820</v>
      </c>
      <c r="I657" s="122">
        <v>15442</v>
      </c>
      <c r="J657" s="122">
        <v>13765</v>
      </c>
      <c r="K657" s="122">
        <v>1677</v>
      </c>
      <c r="L657" s="122">
        <v>27143</v>
      </c>
    </row>
    <row r="658" spans="1:12" ht="15" customHeight="1" x14ac:dyDescent="0.2">
      <c r="A658" s="103" t="s">
        <v>136</v>
      </c>
      <c r="B658" s="198" t="s">
        <v>289</v>
      </c>
      <c r="C658" s="37" t="s">
        <v>290</v>
      </c>
      <c r="D658" s="103">
        <v>308</v>
      </c>
      <c r="E658" s="122">
        <v>83236</v>
      </c>
      <c r="F658" s="122">
        <v>46217</v>
      </c>
      <c r="G658" s="227" t="s">
        <v>457</v>
      </c>
      <c r="H658" s="122">
        <v>37019</v>
      </c>
      <c r="I658" s="199">
        <v>0</v>
      </c>
      <c r="J658" s="199">
        <v>0</v>
      </c>
      <c r="K658" s="199">
        <v>0</v>
      </c>
      <c r="L658" s="122">
        <v>37019</v>
      </c>
    </row>
    <row r="659" spans="1:12" ht="15" customHeight="1" x14ac:dyDescent="0.2">
      <c r="A659" s="103" t="s">
        <v>136</v>
      </c>
      <c r="B659" s="198" t="s">
        <v>257</v>
      </c>
      <c r="C659" s="37" t="s">
        <v>239</v>
      </c>
      <c r="D659" s="103">
        <v>260</v>
      </c>
      <c r="E659" s="122">
        <v>18231549</v>
      </c>
      <c r="F659" s="122">
        <v>17200676</v>
      </c>
      <c r="G659" s="227" t="s">
        <v>457</v>
      </c>
      <c r="H659" s="122">
        <v>1030873</v>
      </c>
      <c r="I659" s="122">
        <v>608055</v>
      </c>
      <c r="J659" s="122">
        <v>608055</v>
      </c>
      <c r="K659" s="199">
        <v>0</v>
      </c>
      <c r="L659" s="122">
        <v>1030873</v>
      </c>
    </row>
    <row r="660" spans="1:12" ht="15" customHeight="1" x14ac:dyDescent="0.2">
      <c r="A660" s="103" t="s">
        <v>136</v>
      </c>
      <c r="B660" s="198" t="s">
        <v>271</v>
      </c>
      <c r="C660" s="37" t="s">
        <v>272</v>
      </c>
      <c r="D660" s="103">
        <v>346</v>
      </c>
      <c r="E660" s="122">
        <v>7378</v>
      </c>
      <c r="F660" s="122">
        <v>1834</v>
      </c>
      <c r="G660" s="227" t="s">
        <v>457</v>
      </c>
      <c r="H660" s="122">
        <v>5544</v>
      </c>
      <c r="I660" s="199">
        <v>0</v>
      </c>
      <c r="J660" s="199">
        <v>0</v>
      </c>
      <c r="K660" s="199">
        <v>0</v>
      </c>
      <c r="L660" s="122">
        <v>5544</v>
      </c>
    </row>
    <row r="661" spans="1:12" ht="15" customHeight="1" x14ac:dyDescent="0.2">
      <c r="A661" s="103" t="s">
        <v>136</v>
      </c>
      <c r="B661" s="198" t="s">
        <v>260</v>
      </c>
      <c r="C661" s="37" t="s">
        <v>261</v>
      </c>
      <c r="D661" s="103">
        <v>351</v>
      </c>
      <c r="E661" s="122">
        <v>52143</v>
      </c>
      <c r="F661" s="122">
        <v>47396</v>
      </c>
      <c r="G661" s="227" t="s">
        <v>457</v>
      </c>
      <c r="H661" s="122">
        <v>4747</v>
      </c>
      <c r="I661" s="199">
        <v>0</v>
      </c>
      <c r="J661" s="199">
        <v>0</v>
      </c>
      <c r="K661" s="199">
        <v>0</v>
      </c>
      <c r="L661" s="122">
        <v>4747</v>
      </c>
    </row>
    <row r="662" spans="1:12" ht="15" customHeight="1" x14ac:dyDescent="0.2">
      <c r="A662" s="206" t="s">
        <v>387</v>
      </c>
      <c r="B662" s="228" t="s">
        <v>457</v>
      </c>
      <c r="C662" s="228" t="s">
        <v>457</v>
      </c>
      <c r="D662" s="228" t="s">
        <v>457</v>
      </c>
      <c r="E662" s="117">
        <f>SUBTOTAL(109,school200607[Program
Costs])</f>
        <v>453651870</v>
      </c>
      <c r="F662" s="117">
        <f>SUBTOTAL(109,school200607[Less: Net
 Payments and 
Offsets 2])</f>
        <v>394141865</v>
      </c>
      <c r="G662" s="228" t="s">
        <v>457</v>
      </c>
      <c r="H662" s="117">
        <f>SUBTOTAL(109,school200607[Accounts Payable
Balance])</f>
        <v>59510005</v>
      </c>
      <c r="I662" s="117">
        <f>SUBTOTAL(109,school200607[Established
Accounts Receivable])</f>
        <v>2341878</v>
      </c>
      <c r="J662" s="117">
        <f>SUBTOTAL(109,school200607[Less: 
Recovered 
Amount])</f>
        <v>1649405</v>
      </c>
      <c r="K662" s="117">
        <f>SUBTOTAL(109,school200607[Accounts Receivable
Balance])</f>
        <v>692473</v>
      </c>
      <c r="L662" s="117">
        <f>SUBTOTAL(109,school200607[Net
Balance])</f>
        <v>58817532</v>
      </c>
    </row>
    <row r="663" spans="1:12" x14ac:dyDescent="0.2">
      <c r="A663" s="169" t="s">
        <v>463</v>
      </c>
      <c r="B663" s="198"/>
      <c r="C663" s="37"/>
      <c r="D663" s="103"/>
      <c r="E663" s="122"/>
      <c r="F663" s="122"/>
      <c r="G663" s="122"/>
      <c r="H663" s="122"/>
      <c r="I663" s="122"/>
      <c r="J663" s="122"/>
      <c r="K663" s="122"/>
      <c r="L663" s="122"/>
    </row>
    <row r="664" spans="1:12" ht="50.1" customHeight="1" x14ac:dyDescent="0.2">
      <c r="A664" s="40" t="s">
        <v>1</v>
      </c>
      <c r="B664" s="40" t="s">
        <v>15</v>
      </c>
      <c r="C664" s="40" t="s">
        <v>16</v>
      </c>
      <c r="D664" s="40" t="s">
        <v>454</v>
      </c>
      <c r="E664" s="230" t="s">
        <v>3</v>
      </c>
      <c r="F664" s="231" t="s">
        <v>592</v>
      </c>
      <c r="G664" s="232" t="s">
        <v>462</v>
      </c>
      <c r="H664" s="230" t="s">
        <v>461</v>
      </c>
      <c r="I664" s="197" t="s">
        <v>460</v>
      </c>
      <c r="J664" s="230" t="s">
        <v>459</v>
      </c>
      <c r="K664" s="230" t="s">
        <v>458</v>
      </c>
      <c r="L664" s="230" t="s">
        <v>17</v>
      </c>
    </row>
    <row r="665" spans="1:12" ht="15" customHeight="1" x14ac:dyDescent="0.2">
      <c r="A665" s="103" t="s">
        <v>137</v>
      </c>
      <c r="B665" s="198" t="s">
        <v>277</v>
      </c>
      <c r="C665" s="37" t="s">
        <v>278</v>
      </c>
      <c r="D665" s="103">
        <v>305</v>
      </c>
      <c r="E665" s="122">
        <v>91574</v>
      </c>
      <c r="F665" s="122">
        <v>89307</v>
      </c>
      <c r="G665" s="227" t="s">
        <v>457</v>
      </c>
      <c r="H665" s="122">
        <v>2267</v>
      </c>
      <c r="I665" s="199">
        <v>0</v>
      </c>
      <c r="J665" s="199">
        <v>0</v>
      </c>
      <c r="K665" s="199">
        <v>0</v>
      </c>
      <c r="L665" s="122">
        <v>2267</v>
      </c>
    </row>
    <row r="666" spans="1:12" ht="15" customHeight="1" x14ac:dyDescent="0.2">
      <c r="A666" s="103" t="s">
        <v>137</v>
      </c>
      <c r="B666" s="198" t="s">
        <v>213</v>
      </c>
      <c r="C666" s="37" t="s">
        <v>214</v>
      </c>
      <c r="D666" s="103">
        <v>269</v>
      </c>
      <c r="E666" s="122">
        <v>13832</v>
      </c>
      <c r="F666" s="122">
        <v>12143</v>
      </c>
      <c r="G666" s="227" t="s">
        <v>457</v>
      </c>
      <c r="H666" s="122">
        <v>1689</v>
      </c>
      <c r="I666" s="199">
        <v>0</v>
      </c>
      <c r="J666" s="199">
        <v>0</v>
      </c>
      <c r="K666" s="199">
        <v>0</v>
      </c>
      <c r="L666" s="122">
        <v>1689</v>
      </c>
    </row>
    <row r="667" spans="1:12" ht="15" customHeight="1" x14ac:dyDescent="0.2">
      <c r="A667" s="103" t="s">
        <v>137</v>
      </c>
      <c r="B667" s="198" t="s">
        <v>217</v>
      </c>
      <c r="C667" s="37" t="s">
        <v>218</v>
      </c>
      <c r="D667" s="103">
        <v>250</v>
      </c>
      <c r="E667" s="122">
        <v>1529642</v>
      </c>
      <c r="F667" s="122">
        <v>1448507</v>
      </c>
      <c r="G667" s="227" t="s">
        <v>457</v>
      </c>
      <c r="H667" s="122">
        <v>81135</v>
      </c>
      <c r="I667" s="199">
        <v>0</v>
      </c>
      <c r="J667" s="199">
        <v>0</v>
      </c>
      <c r="K667" s="199">
        <v>0</v>
      </c>
      <c r="L667" s="122">
        <v>81135</v>
      </c>
    </row>
    <row r="668" spans="1:12" ht="30" customHeight="1" x14ac:dyDescent="0.2">
      <c r="A668" s="103" t="s">
        <v>137</v>
      </c>
      <c r="B668" s="198" t="s">
        <v>300</v>
      </c>
      <c r="C668" s="37" t="s">
        <v>296</v>
      </c>
      <c r="D668" s="103">
        <v>348</v>
      </c>
      <c r="E668" s="122">
        <v>48538143</v>
      </c>
      <c r="F668" s="122">
        <v>42415623</v>
      </c>
      <c r="G668" s="227" t="s">
        <v>457</v>
      </c>
      <c r="H668" s="122">
        <v>6122520</v>
      </c>
      <c r="I668" s="199">
        <v>0</v>
      </c>
      <c r="J668" s="199">
        <v>0</v>
      </c>
      <c r="K668" s="199">
        <v>0</v>
      </c>
      <c r="L668" s="122">
        <v>6122520</v>
      </c>
    </row>
    <row r="669" spans="1:12" ht="30" customHeight="1" x14ac:dyDescent="0.2">
      <c r="A669" s="103" t="s">
        <v>137</v>
      </c>
      <c r="B669" s="198" t="s">
        <v>215</v>
      </c>
      <c r="C669" s="37" t="s">
        <v>216</v>
      </c>
      <c r="D669" s="103">
        <v>286</v>
      </c>
      <c r="E669" s="122">
        <v>81632</v>
      </c>
      <c r="F669" s="122">
        <v>66048</v>
      </c>
      <c r="G669" s="227" t="s">
        <v>457</v>
      </c>
      <c r="H669" s="122">
        <v>15584</v>
      </c>
      <c r="I669" s="199">
        <v>0</v>
      </c>
      <c r="J669" s="199">
        <v>0</v>
      </c>
      <c r="K669" s="199">
        <v>0</v>
      </c>
      <c r="L669" s="122">
        <v>15584</v>
      </c>
    </row>
    <row r="670" spans="1:12" ht="30" customHeight="1" x14ac:dyDescent="0.2">
      <c r="A670" s="103" t="s">
        <v>137</v>
      </c>
      <c r="B670" s="198" t="s">
        <v>221</v>
      </c>
      <c r="C670" s="37" t="s">
        <v>222</v>
      </c>
      <c r="D670" s="103">
        <v>172</v>
      </c>
      <c r="E670" s="122">
        <v>789966</v>
      </c>
      <c r="F670" s="122">
        <v>701787</v>
      </c>
      <c r="G670" s="227" t="s">
        <v>457</v>
      </c>
      <c r="H670" s="122">
        <v>88179</v>
      </c>
      <c r="I670" s="199">
        <v>0</v>
      </c>
      <c r="J670" s="199">
        <v>0</v>
      </c>
      <c r="K670" s="199">
        <v>0</v>
      </c>
      <c r="L670" s="122">
        <v>88179</v>
      </c>
    </row>
    <row r="671" spans="1:12" ht="15" customHeight="1" x14ac:dyDescent="0.2">
      <c r="A671" s="103" t="s">
        <v>137</v>
      </c>
      <c r="B671" s="198" t="s">
        <v>323</v>
      </c>
      <c r="C671" s="37" t="s">
        <v>324</v>
      </c>
      <c r="D671" s="103">
        <v>249</v>
      </c>
      <c r="E671" s="122">
        <v>1894352</v>
      </c>
      <c r="F671" s="122">
        <v>1761720</v>
      </c>
      <c r="G671" s="227" t="s">
        <v>457</v>
      </c>
      <c r="H671" s="122">
        <v>132632</v>
      </c>
      <c r="I671" s="199">
        <v>0</v>
      </c>
      <c r="J671" s="199">
        <v>0</v>
      </c>
      <c r="K671" s="199">
        <v>0</v>
      </c>
      <c r="L671" s="122">
        <v>132632</v>
      </c>
    </row>
    <row r="672" spans="1:12" ht="30" customHeight="1" x14ac:dyDescent="0.2">
      <c r="A672" s="103" t="s">
        <v>137</v>
      </c>
      <c r="B672" s="198" t="s">
        <v>195</v>
      </c>
      <c r="C672" s="37" t="s">
        <v>196</v>
      </c>
      <c r="D672" s="103">
        <v>11</v>
      </c>
      <c r="E672" s="122">
        <v>28118251</v>
      </c>
      <c r="F672" s="122">
        <v>27647949</v>
      </c>
      <c r="G672" s="227" t="s">
        <v>457</v>
      </c>
      <c r="H672" s="122">
        <v>470302</v>
      </c>
      <c r="I672" s="122">
        <v>6504563</v>
      </c>
      <c r="J672" s="122">
        <v>5420317</v>
      </c>
      <c r="K672" s="122">
        <v>1084246</v>
      </c>
      <c r="L672" s="122">
        <v>-613944</v>
      </c>
    </row>
    <row r="673" spans="1:12" ht="15" customHeight="1" x14ac:dyDescent="0.2">
      <c r="A673" s="103" t="s">
        <v>137</v>
      </c>
      <c r="B673" s="198" t="s">
        <v>316</v>
      </c>
      <c r="C673" s="37" t="s">
        <v>224</v>
      </c>
      <c r="D673" s="103">
        <v>223</v>
      </c>
      <c r="E673" s="122">
        <v>4125253</v>
      </c>
      <c r="F673" s="122">
        <v>3957366</v>
      </c>
      <c r="G673" s="227" t="s">
        <v>457</v>
      </c>
      <c r="H673" s="122">
        <v>167887</v>
      </c>
      <c r="I673" s="199">
        <v>0</v>
      </c>
      <c r="J673" s="199">
        <v>0</v>
      </c>
      <c r="K673" s="199">
        <v>0</v>
      </c>
      <c r="L673" s="122">
        <v>167887</v>
      </c>
    </row>
    <row r="674" spans="1:12" ht="30" customHeight="1" x14ac:dyDescent="0.2">
      <c r="A674" s="103" t="s">
        <v>137</v>
      </c>
      <c r="B674" s="198" t="s">
        <v>227</v>
      </c>
      <c r="C674" s="37" t="s">
        <v>228</v>
      </c>
      <c r="D674" s="103">
        <v>272</v>
      </c>
      <c r="E674" s="122">
        <v>8371175</v>
      </c>
      <c r="F674" s="122">
        <v>8200303</v>
      </c>
      <c r="G674" s="227" t="s">
        <v>457</v>
      </c>
      <c r="H674" s="122">
        <v>170872</v>
      </c>
      <c r="I674" s="199">
        <v>0</v>
      </c>
      <c r="J674" s="199">
        <v>0</v>
      </c>
      <c r="K674" s="199">
        <v>0</v>
      </c>
      <c r="L674" s="122">
        <v>170872</v>
      </c>
    </row>
    <row r="675" spans="1:12" ht="45" customHeight="1" x14ac:dyDescent="0.2">
      <c r="A675" s="103" t="s">
        <v>137</v>
      </c>
      <c r="B675" s="198" t="s">
        <v>319</v>
      </c>
      <c r="C675" s="37" t="s">
        <v>320</v>
      </c>
      <c r="D675" s="103">
        <v>291</v>
      </c>
      <c r="E675" s="122">
        <v>221637</v>
      </c>
      <c r="F675" s="122">
        <v>135227</v>
      </c>
      <c r="G675" s="227" t="s">
        <v>457</v>
      </c>
      <c r="H675" s="122">
        <v>86410</v>
      </c>
      <c r="I675" s="199">
        <v>0</v>
      </c>
      <c r="J675" s="199">
        <v>0</v>
      </c>
      <c r="K675" s="199">
        <v>0</v>
      </c>
      <c r="L675" s="122">
        <v>86410</v>
      </c>
    </row>
    <row r="676" spans="1:12" ht="30" customHeight="1" x14ac:dyDescent="0.2">
      <c r="A676" s="103" t="s">
        <v>137</v>
      </c>
      <c r="B676" s="198" t="s">
        <v>233</v>
      </c>
      <c r="C676" s="37" t="s">
        <v>234</v>
      </c>
      <c r="D676" s="103">
        <v>209</v>
      </c>
      <c r="E676" s="122">
        <v>330968</v>
      </c>
      <c r="F676" s="122">
        <v>291805</v>
      </c>
      <c r="G676" s="227" t="s">
        <v>457</v>
      </c>
      <c r="H676" s="122">
        <v>39163</v>
      </c>
      <c r="I676" s="199">
        <v>0</v>
      </c>
      <c r="J676" s="199">
        <v>0</v>
      </c>
      <c r="K676" s="199">
        <v>0</v>
      </c>
      <c r="L676" s="122">
        <v>39163</v>
      </c>
    </row>
    <row r="677" spans="1:12" ht="15" customHeight="1" x14ac:dyDescent="0.2">
      <c r="A677" s="103" t="s">
        <v>137</v>
      </c>
      <c r="B677" s="198" t="s">
        <v>235</v>
      </c>
      <c r="C677" s="37" t="s">
        <v>236</v>
      </c>
      <c r="D677" s="103">
        <v>183</v>
      </c>
      <c r="E677" s="122">
        <v>1053274</v>
      </c>
      <c r="F677" s="122">
        <v>1028420</v>
      </c>
      <c r="G677" s="227" t="s">
        <v>457</v>
      </c>
      <c r="H677" s="122">
        <v>24854</v>
      </c>
      <c r="I677" s="122">
        <v>324987</v>
      </c>
      <c r="J677" s="122">
        <v>324236</v>
      </c>
      <c r="K677" s="122">
        <v>751</v>
      </c>
      <c r="L677" s="122">
        <v>24103</v>
      </c>
    </row>
    <row r="678" spans="1:12" ht="15" customHeight="1" x14ac:dyDescent="0.2">
      <c r="A678" s="103" t="s">
        <v>137</v>
      </c>
      <c r="B678" s="198" t="s">
        <v>264</v>
      </c>
      <c r="C678" s="37" t="s">
        <v>265</v>
      </c>
      <c r="D678" s="103">
        <v>251</v>
      </c>
      <c r="E678" s="122">
        <v>345084</v>
      </c>
      <c r="F678" s="122">
        <v>339843</v>
      </c>
      <c r="G678" s="227" t="s">
        <v>457</v>
      </c>
      <c r="H678" s="122">
        <v>5241</v>
      </c>
      <c r="I678" s="199">
        <v>0</v>
      </c>
      <c r="J678" s="199">
        <v>0</v>
      </c>
      <c r="K678" s="199">
        <v>0</v>
      </c>
      <c r="L678" s="122">
        <v>5241</v>
      </c>
    </row>
    <row r="679" spans="1:12" ht="15" customHeight="1" x14ac:dyDescent="0.2">
      <c r="A679" s="103" t="s">
        <v>137</v>
      </c>
      <c r="B679" s="198" t="s">
        <v>281</v>
      </c>
      <c r="C679" s="37" t="s">
        <v>226</v>
      </c>
      <c r="D679" s="103">
        <v>91</v>
      </c>
      <c r="E679" s="122">
        <v>11182</v>
      </c>
      <c r="F679" s="122">
        <v>10546</v>
      </c>
      <c r="G679" s="227" t="s">
        <v>457</v>
      </c>
      <c r="H679" s="122">
        <v>636</v>
      </c>
      <c r="I679" s="199">
        <v>0</v>
      </c>
      <c r="J679" s="199">
        <v>0</v>
      </c>
      <c r="K679" s="199">
        <v>0</v>
      </c>
      <c r="L679" s="122">
        <v>636</v>
      </c>
    </row>
    <row r="680" spans="1:12" ht="15" customHeight="1" x14ac:dyDescent="0.2">
      <c r="A680" s="103" t="s">
        <v>137</v>
      </c>
      <c r="B680" s="198" t="s">
        <v>237</v>
      </c>
      <c r="C680" s="37" t="s">
        <v>208</v>
      </c>
      <c r="D680" s="103">
        <v>192</v>
      </c>
      <c r="E680" s="122">
        <v>345937</v>
      </c>
      <c r="F680" s="122">
        <v>317957</v>
      </c>
      <c r="G680" s="227" t="s">
        <v>457</v>
      </c>
      <c r="H680" s="122">
        <v>27980</v>
      </c>
      <c r="I680" s="199">
        <v>0</v>
      </c>
      <c r="J680" s="199">
        <v>0</v>
      </c>
      <c r="K680" s="199">
        <v>0</v>
      </c>
      <c r="L680" s="122">
        <v>27980</v>
      </c>
    </row>
    <row r="681" spans="1:12" ht="15" customHeight="1" x14ac:dyDescent="0.2">
      <c r="A681" s="103" t="s">
        <v>137</v>
      </c>
      <c r="B681" s="198" t="s">
        <v>321</v>
      </c>
      <c r="C681" s="37" t="s">
        <v>239</v>
      </c>
      <c r="D681" s="103">
        <v>26</v>
      </c>
      <c r="E681" s="122">
        <v>43202517</v>
      </c>
      <c r="F681" s="122">
        <v>40579200</v>
      </c>
      <c r="G681" s="227" t="s">
        <v>457</v>
      </c>
      <c r="H681" s="122">
        <v>2623317</v>
      </c>
      <c r="I681" s="122">
        <v>2628221</v>
      </c>
      <c r="J681" s="122">
        <v>940748</v>
      </c>
      <c r="K681" s="122">
        <v>1687473</v>
      </c>
      <c r="L681" s="122">
        <v>935844</v>
      </c>
    </row>
    <row r="682" spans="1:12" ht="15" customHeight="1" x14ac:dyDescent="0.2">
      <c r="A682" s="103" t="s">
        <v>137</v>
      </c>
      <c r="B682" s="198" t="s">
        <v>238</v>
      </c>
      <c r="C682" s="37" t="s">
        <v>239</v>
      </c>
      <c r="D682" s="103">
        <v>297</v>
      </c>
      <c r="E682" s="122">
        <v>178572293</v>
      </c>
      <c r="F682" s="122">
        <v>149988236</v>
      </c>
      <c r="G682" s="227" t="s">
        <v>457</v>
      </c>
      <c r="H682" s="122">
        <v>28584057</v>
      </c>
      <c r="I682" s="199">
        <v>0</v>
      </c>
      <c r="J682" s="199">
        <v>0</v>
      </c>
      <c r="K682" s="199">
        <v>0</v>
      </c>
      <c r="L682" s="122">
        <v>28584057</v>
      </c>
    </row>
    <row r="683" spans="1:12" ht="15" customHeight="1" x14ac:dyDescent="0.2">
      <c r="A683" s="103" t="s">
        <v>137</v>
      </c>
      <c r="B683" s="198" t="s">
        <v>240</v>
      </c>
      <c r="C683" s="37" t="s">
        <v>241</v>
      </c>
      <c r="D683" s="103">
        <v>166</v>
      </c>
      <c r="E683" s="122">
        <v>6863320</v>
      </c>
      <c r="F683" s="122">
        <v>6312299</v>
      </c>
      <c r="G683" s="227" t="s">
        <v>457</v>
      </c>
      <c r="H683" s="122">
        <v>551021</v>
      </c>
      <c r="I683" s="199">
        <v>0</v>
      </c>
      <c r="J683" s="199">
        <v>0</v>
      </c>
      <c r="K683" s="199">
        <v>0</v>
      </c>
      <c r="L683" s="122">
        <v>551021</v>
      </c>
    </row>
    <row r="684" spans="1:12" ht="15" customHeight="1" x14ac:dyDescent="0.2">
      <c r="A684" s="103" t="s">
        <v>137</v>
      </c>
      <c r="B684" s="198" t="s">
        <v>282</v>
      </c>
      <c r="C684" s="37" t="s">
        <v>283</v>
      </c>
      <c r="D684" s="103">
        <v>268</v>
      </c>
      <c r="E684" s="122">
        <v>6928053</v>
      </c>
      <c r="F684" s="122">
        <v>5751723</v>
      </c>
      <c r="G684" s="227" t="s">
        <v>457</v>
      </c>
      <c r="H684" s="122">
        <v>1176330</v>
      </c>
      <c r="I684" s="199">
        <v>0</v>
      </c>
      <c r="J684" s="199">
        <v>0</v>
      </c>
      <c r="K684" s="199">
        <v>0</v>
      </c>
      <c r="L684" s="122">
        <v>1176330</v>
      </c>
    </row>
    <row r="685" spans="1:12" ht="15" customHeight="1" x14ac:dyDescent="0.2">
      <c r="A685" s="103" t="s">
        <v>137</v>
      </c>
      <c r="B685" s="198" t="s">
        <v>242</v>
      </c>
      <c r="C685" s="37" t="s">
        <v>243</v>
      </c>
      <c r="D685" s="103">
        <v>32</v>
      </c>
      <c r="E685" s="122">
        <v>3940566</v>
      </c>
      <c r="F685" s="122">
        <v>3912544</v>
      </c>
      <c r="G685" s="227" t="s">
        <v>457</v>
      </c>
      <c r="H685" s="122">
        <v>28022</v>
      </c>
      <c r="I685" s="199">
        <v>0</v>
      </c>
      <c r="J685" s="199">
        <v>0</v>
      </c>
      <c r="K685" s="199">
        <v>0</v>
      </c>
      <c r="L685" s="122">
        <v>28022</v>
      </c>
    </row>
    <row r="686" spans="1:12" ht="15" customHeight="1" x14ac:dyDescent="0.2">
      <c r="A686" s="103" t="s">
        <v>137</v>
      </c>
      <c r="B686" s="198" t="s">
        <v>297</v>
      </c>
      <c r="C686" s="37" t="s">
        <v>245</v>
      </c>
      <c r="D686" s="103">
        <v>230</v>
      </c>
      <c r="E686" s="122">
        <v>5033509</v>
      </c>
      <c r="F686" s="122">
        <v>5003200</v>
      </c>
      <c r="G686" s="227" t="s">
        <v>457</v>
      </c>
      <c r="H686" s="122">
        <v>30309</v>
      </c>
      <c r="I686" s="199">
        <v>0</v>
      </c>
      <c r="J686" s="199">
        <v>0</v>
      </c>
      <c r="K686" s="199">
        <v>0</v>
      </c>
      <c r="L686" s="122">
        <v>30309</v>
      </c>
    </row>
    <row r="687" spans="1:12" ht="15" customHeight="1" x14ac:dyDescent="0.2">
      <c r="A687" s="103" t="s">
        <v>137</v>
      </c>
      <c r="B687" s="198" t="s">
        <v>284</v>
      </c>
      <c r="C687" s="37" t="s">
        <v>285</v>
      </c>
      <c r="D687" s="103">
        <v>148</v>
      </c>
      <c r="E687" s="122">
        <v>14798</v>
      </c>
      <c r="F687" s="122">
        <v>11934</v>
      </c>
      <c r="G687" s="227" t="s">
        <v>457</v>
      </c>
      <c r="H687" s="122">
        <v>2864</v>
      </c>
      <c r="I687" s="199">
        <v>0</v>
      </c>
      <c r="J687" s="199">
        <v>0</v>
      </c>
      <c r="K687" s="199">
        <v>0</v>
      </c>
      <c r="L687" s="122">
        <v>2864</v>
      </c>
    </row>
    <row r="688" spans="1:12" ht="15" customHeight="1" x14ac:dyDescent="0.2">
      <c r="A688" s="103" t="s">
        <v>137</v>
      </c>
      <c r="B688" s="198" t="s">
        <v>248</v>
      </c>
      <c r="C688" s="37" t="s">
        <v>249</v>
      </c>
      <c r="D688" s="103">
        <v>153</v>
      </c>
      <c r="E688" s="122">
        <v>4736153</v>
      </c>
      <c r="F688" s="122">
        <v>4678559</v>
      </c>
      <c r="G688" s="227" t="s">
        <v>457</v>
      </c>
      <c r="H688" s="122">
        <v>57594</v>
      </c>
      <c r="I688" s="122">
        <v>1319463</v>
      </c>
      <c r="J688" s="122">
        <v>1295960</v>
      </c>
      <c r="K688" s="122">
        <v>23503</v>
      </c>
      <c r="L688" s="122">
        <v>34091</v>
      </c>
    </row>
    <row r="689" spans="1:12" ht="15" customHeight="1" x14ac:dyDescent="0.2">
      <c r="A689" s="103" t="s">
        <v>137</v>
      </c>
      <c r="B689" s="198" t="s">
        <v>266</v>
      </c>
      <c r="C689" s="37" t="s">
        <v>267</v>
      </c>
      <c r="D689" s="103">
        <v>155</v>
      </c>
      <c r="E689" s="122">
        <v>1185878</v>
      </c>
      <c r="F689" s="122">
        <v>1112778</v>
      </c>
      <c r="G689" s="227" t="s">
        <v>457</v>
      </c>
      <c r="H689" s="122">
        <v>73100</v>
      </c>
      <c r="I689" s="199">
        <v>0</v>
      </c>
      <c r="J689" s="199">
        <v>0</v>
      </c>
      <c r="K689" s="199">
        <v>0</v>
      </c>
      <c r="L689" s="122">
        <v>73100</v>
      </c>
    </row>
    <row r="690" spans="1:12" ht="15" customHeight="1" x14ac:dyDescent="0.2">
      <c r="A690" s="103" t="s">
        <v>137</v>
      </c>
      <c r="B690" s="198" t="s">
        <v>328</v>
      </c>
      <c r="C690" s="37" t="s">
        <v>329</v>
      </c>
      <c r="D690" s="103">
        <v>157</v>
      </c>
      <c r="E690" s="122">
        <v>1550124</v>
      </c>
      <c r="F690" s="122">
        <v>1376323</v>
      </c>
      <c r="G690" s="227" t="s">
        <v>457</v>
      </c>
      <c r="H690" s="122">
        <v>173801</v>
      </c>
      <c r="I690" s="199">
        <v>0</v>
      </c>
      <c r="J690" s="199">
        <v>0</v>
      </c>
      <c r="K690" s="199">
        <v>0</v>
      </c>
      <c r="L690" s="122">
        <v>173801</v>
      </c>
    </row>
    <row r="691" spans="1:12" ht="15" customHeight="1" x14ac:dyDescent="0.2">
      <c r="A691" s="103" t="s">
        <v>137</v>
      </c>
      <c r="B691" s="198" t="s">
        <v>82</v>
      </c>
      <c r="C691" s="37" t="s">
        <v>83</v>
      </c>
      <c r="D691" s="103">
        <v>42</v>
      </c>
      <c r="E691" s="122">
        <v>16466343</v>
      </c>
      <c r="F691" s="122">
        <v>15476282</v>
      </c>
      <c r="G691" s="227" t="s">
        <v>457</v>
      </c>
      <c r="H691" s="122">
        <v>990061</v>
      </c>
      <c r="I691" s="199">
        <v>0</v>
      </c>
      <c r="J691" s="199">
        <v>0</v>
      </c>
      <c r="K691" s="199">
        <v>0</v>
      </c>
      <c r="L691" s="122">
        <v>990061</v>
      </c>
    </row>
    <row r="692" spans="1:12" ht="45" x14ac:dyDescent="0.2">
      <c r="A692" s="103" t="s">
        <v>137</v>
      </c>
      <c r="B692" s="198" t="s">
        <v>317</v>
      </c>
      <c r="C692" s="37" t="s">
        <v>318</v>
      </c>
      <c r="D692" s="103">
        <v>265</v>
      </c>
      <c r="E692" s="122">
        <v>2861402</v>
      </c>
      <c r="F692" s="122">
        <v>2768647</v>
      </c>
      <c r="G692" s="227" t="s">
        <v>457</v>
      </c>
      <c r="H692" s="122">
        <v>92755</v>
      </c>
      <c r="I692" s="199">
        <v>0</v>
      </c>
      <c r="J692" s="199">
        <v>0</v>
      </c>
      <c r="K692" s="199">
        <v>0</v>
      </c>
      <c r="L692" s="122">
        <v>92755</v>
      </c>
    </row>
    <row r="693" spans="1:12" ht="15" customHeight="1" x14ac:dyDescent="0.2">
      <c r="A693" s="103" t="s">
        <v>137</v>
      </c>
      <c r="B693" s="198" t="s">
        <v>250</v>
      </c>
      <c r="C693" s="37" t="s">
        <v>239</v>
      </c>
      <c r="D693" s="103">
        <v>48</v>
      </c>
      <c r="E693" s="122">
        <v>12433793</v>
      </c>
      <c r="F693" s="122">
        <v>11714663</v>
      </c>
      <c r="G693" s="227" t="s">
        <v>457</v>
      </c>
      <c r="H693" s="122">
        <v>719130</v>
      </c>
      <c r="I693" s="199">
        <v>0</v>
      </c>
      <c r="J693" s="199">
        <v>0</v>
      </c>
      <c r="K693" s="199">
        <v>0</v>
      </c>
      <c r="L693" s="122">
        <v>719130</v>
      </c>
    </row>
    <row r="694" spans="1:12" ht="30" customHeight="1" x14ac:dyDescent="0.2">
      <c r="A694" s="103" t="s">
        <v>137</v>
      </c>
      <c r="B694" s="198" t="s">
        <v>322</v>
      </c>
      <c r="C694" s="37" t="s">
        <v>232</v>
      </c>
      <c r="D694" s="103">
        <v>150</v>
      </c>
      <c r="E694" s="122">
        <v>5726692</v>
      </c>
      <c r="F694" s="122">
        <v>5639598</v>
      </c>
      <c r="G694" s="227" t="s">
        <v>457</v>
      </c>
      <c r="H694" s="122">
        <v>87094</v>
      </c>
      <c r="I694" s="122">
        <v>1191913</v>
      </c>
      <c r="J694" s="122">
        <v>1172322</v>
      </c>
      <c r="K694" s="122">
        <v>19591</v>
      </c>
      <c r="L694" s="122">
        <v>67503</v>
      </c>
    </row>
    <row r="695" spans="1:12" ht="15" customHeight="1" x14ac:dyDescent="0.2">
      <c r="A695" s="103" t="s">
        <v>137</v>
      </c>
      <c r="B695" s="198" t="s">
        <v>71</v>
      </c>
      <c r="C695" s="37" t="s">
        <v>72</v>
      </c>
      <c r="D695" s="103">
        <v>218</v>
      </c>
      <c r="E695" s="122">
        <v>3283340</v>
      </c>
      <c r="F695" s="122">
        <v>3000113</v>
      </c>
      <c r="G695" s="227" t="s">
        <v>457</v>
      </c>
      <c r="H695" s="122">
        <v>283227</v>
      </c>
      <c r="I695" s="199">
        <v>0</v>
      </c>
      <c r="J695" s="199">
        <v>0</v>
      </c>
      <c r="K695" s="199">
        <v>0</v>
      </c>
      <c r="L695" s="122">
        <v>283227</v>
      </c>
    </row>
    <row r="696" spans="1:12" ht="15" customHeight="1" x14ac:dyDescent="0.2">
      <c r="A696" s="103" t="s">
        <v>137</v>
      </c>
      <c r="B696" s="198" t="s">
        <v>331</v>
      </c>
      <c r="C696" s="37" t="s">
        <v>332</v>
      </c>
      <c r="D696" s="103">
        <v>151</v>
      </c>
      <c r="E696" s="199">
        <v>0</v>
      </c>
      <c r="F696" s="199">
        <v>0</v>
      </c>
      <c r="G696" s="227" t="s">
        <v>457</v>
      </c>
      <c r="H696" s="199">
        <v>0</v>
      </c>
      <c r="I696" s="122">
        <v>154522</v>
      </c>
      <c r="J696" s="122">
        <v>150626</v>
      </c>
      <c r="K696" s="122">
        <v>3896</v>
      </c>
      <c r="L696" s="122">
        <v>-3896</v>
      </c>
    </row>
    <row r="697" spans="1:12" s="229" customFormat="1" ht="30" customHeight="1" x14ac:dyDescent="0.2">
      <c r="A697" s="103" t="s">
        <v>137</v>
      </c>
      <c r="B697" s="198" t="s">
        <v>333</v>
      </c>
      <c r="C697" s="37" t="s">
        <v>226</v>
      </c>
      <c r="D697" s="103">
        <v>271</v>
      </c>
      <c r="E697" s="122">
        <v>4310781</v>
      </c>
      <c r="F697" s="122">
        <v>3965770</v>
      </c>
      <c r="G697" s="227" t="s">
        <v>457</v>
      </c>
      <c r="H697" s="122">
        <v>345011</v>
      </c>
      <c r="I697" s="199">
        <v>0</v>
      </c>
      <c r="J697" s="199">
        <v>0</v>
      </c>
      <c r="K697" s="199">
        <v>0</v>
      </c>
      <c r="L697" s="122">
        <v>345011</v>
      </c>
    </row>
    <row r="698" spans="1:12" ht="45" x14ac:dyDescent="0.2">
      <c r="A698" s="103" t="s">
        <v>137</v>
      </c>
      <c r="B698" s="198" t="s">
        <v>303</v>
      </c>
      <c r="C698" s="37" t="s">
        <v>304</v>
      </c>
      <c r="D698" s="103">
        <v>329</v>
      </c>
      <c r="E698" s="122">
        <v>824841</v>
      </c>
      <c r="F698" s="122">
        <v>761992</v>
      </c>
      <c r="G698" s="227" t="s">
        <v>457</v>
      </c>
      <c r="H698" s="122">
        <v>62849</v>
      </c>
      <c r="I698" s="199">
        <v>0</v>
      </c>
      <c r="J698" s="199">
        <v>0</v>
      </c>
      <c r="K698" s="199">
        <v>0</v>
      </c>
      <c r="L698" s="122">
        <v>62849</v>
      </c>
    </row>
    <row r="699" spans="1:12" ht="30" customHeight="1" x14ac:dyDescent="0.2">
      <c r="A699" s="103" t="s">
        <v>137</v>
      </c>
      <c r="B699" s="198" t="s">
        <v>275</v>
      </c>
      <c r="C699" s="37" t="s">
        <v>276</v>
      </c>
      <c r="D699" s="103">
        <v>261</v>
      </c>
      <c r="E699" s="122">
        <v>1283024</v>
      </c>
      <c r="F699" s="122">
        <v>1278443</v>
      </c>
      <c r="G699" s="227" t="s">
        <v>457</v>
      </c>
      <c r="H699" s="122">
        <v>4581</v>
      </c>
      <c r="I699" s="199">
        <v>0</v>
      </c>
      <c r="J699" s="199">
        <v>0</v>
      </c>
      <c r="K699" s="199">
        <v>0</v>
      </c>
      <c r="L699" s="122">
        <v>4581</v>
      </c>
    </row>
    <row r="700" spans="1:12" ht="15" customHeight="1" x14ac:dyDescent="0.2">
      <c r="A700" s="103" t="s">
        <v>137</v>
      </c>
      <c r="B700" s="198" t="s">
        <v>270</v>
      </c>
      <c r="C700" s="37" t="s">
        <v>256</v>
      </c>
      <c r="D700" s="103">
        <v>244</v>
      </c>
      <c r="E700" s="122">
        <v>3003669</v>
      </c>
      <c r="F700" s="122">
        <v>2979014</v>
      </c>
      <c r="G700" s="227" t="s">
        <v>457</v>
      </c>
      <c r="H700" s="122">
        <v>24655</v>
      </c>
      <c r="I700" s="199">
        <v>0</v>
      </c>
      <c r="J700" s="199">
        <v>0</v>
      </c>
      <c r="K700" s="199">
        <v>0</v>
      </c>
      <c r="L700" s="122">
        <v>24655</v>
      </c>
    </row>
    <row r="701" spans="1:12" ht="15" customHeight="1" x14ac:dyDescent="0.2">
      <c r="A701" s="103" t="s">
        <v>137</v>
      </c>
      <c r="B701" s="198" t="s">
        <v>314</v>
      </c>
      <c r="C701" s="37" t="s">
        <v>315</v>
      </c>
      <c r="D701" s="103">
        <v>182</v>
      </c>
      <c r="E701" s="122">
        <v>283789</v>
      </c>
      <c r="F701" s="122">
        <v>7758</v>
      </c>
      <c r="G701" s="227" t="s">
        <v>457</v>
      </c>
      <c r="H701" s="122">
        <v>276031</v>
      </c>
      <c r="I701" s="199">
        <v>0</v>
      </c>
      <c r="J701" s="199">
        <v>0</v>
      </c>
      <c r="K701" s="199">
        <v>0</v>
      </c>
      <c r="L701" s="122">
        <v>276031</v>
      </c>
    </row>
    <row r="702" spans="1:12" ht="15" customHeight="1" x14ac:dyDescent="0.2">
      <c r="A702" s="103" t="s">
        <v>137</v>
      </c>
      <c r="B702" s="198" t="s">
        <v>286</v>
      </c>
      <c r="C702" s="37" t="s">
        <v>239</v>
      </c>
      <c r="D702" s="103">
        <v>280</v>
      </c>
      <c r="E702" s="122">
        <v>10081</v>
      </c>
      <c r="F702" s="122">
        <v>8652</v>
      </c>
      <c r="G702" s="227" t="s">
        <v>457</v>
      </c>
      <c r="H702" s="122">
        <v>1429</v>
      </c>
      <c r="I702" s="199">
        <v>0</v>
      </c>
      <c r="J702" s="199">
        <v>0</v>
      </c>
      <c r="K702" s="199">
        <v>0</v>
      </c>
      <c r="L702" s="122">
        <v>1429</v>
      </c>
    </row>
    <row r="703" spans="1:12" ht="15" customHeight="1" x14ac:dyDescent="0.2">
      <c r="A703" s="103" t="s">
        <v>137</v>
      </c>
      <c r="B703" s="198" t="s">
        <v>305</v>
      </c>
      <c r="C703" s="37" t="s">
        <v>226</v>
      </c>
      <c r="D703" s="103">
        <v>176</v>
      </c>
      <c r="E703" s="122">
        <v>3178106</v>
      </c>
      <c r="F703" s="122">
        <v>2910951</v>
      </c>
      <c r="G703" s="227" t="s">
        <v>457</v>
      </c>
      <c r="H703" s="122">
        <v>267155</v>
      </c>
      <c r="I703" s="122">
        <v>337</v>
      </c>
      <c r="J703" s="199">
        <v>0</v>
      </c>
      <c r="K703" s="122">
        <v>337</v>
      </c>
      <c r="L703" s="122">
        <v>266818</v>
      </c>
    </row>
    <row r="704" spans="1:12" ht="15" customHeight="1" x14ac:dyDescent="0.2">
      <c r="A704" s="103" t="s">
        <v>137</v>
      </c>
      <c r="B704" s="198" t="s">
        <v>310</v>
      </c>
      <c r="C704" s="37" t="s">
        <v>311</v>
      </c>
      <c r="D704" s="103">
        <v>57</v>
      </c>
      <c r="E704" s="122">
        <v>1056004</v>
      </c>
      <c r="F704" s="122">
        <v>948908</v>
      </c>
      <c r="G704" s="227" t="s">
        <v>457</v>
      </c>
      <c r="H704" s="122">
        <v>107096</v>
      </c>
      <c r="I704" s="199">
        <v>0</v>
      </c>
      <c r="J704" s="199">
        <v>0</v>
      </c>
      <c r="K704" s="199">
        <v>0</v>
      </c>
      <c r="L704" s="122">
        <v>107096</v>
      </c>
    </row>
    <row r="705" spans="1:12" ht="15" customHeight="1" x14ac:dyDescent="0.2">
      <c r="A705" s="103" t="s">
        <v>137</v>
      </c>
      <c r="B705" s="198" t="s">
        <v>253</v>
      </c>
      <c r="C705" s="37" t="s">
        <v>254</v>
      </c>
      <c r="D705" s="103">
        <v>171</v>
      </c>
      <c r="E705" s="122">
        <v>1823009</v>
      </c>
      <c r="F705" s="122">
        <v>1710342</v>
      </c>
      <c r="G705" s="227" t="s">
        <v>457</v>
      </c>
      <c r="H705" s="122">
        <v>112667</v>
      </c>
      <c r="I705" s="199">
        <v>0</v>
      </c>
      <c r="J705" s="199">
        <v>0</v>
      </c>
      <c r="K705" s="199">
        <v>0</v>
      </c>
      <c r="L705" s="122">
        <v>112667</v>
      </c>
    </row>
    <row r="706" spans="1:12" ht="15" customHeight="1" x14ac:dyDescent="0.2">
      <c r="A706" s="103" t="s">
        <v>137</v>
      </c>
      <c r="B706" s="198" t="s">
        <v>312</v>
      </c>
      <c r="C706" s="37" t="s">
        <v>313</v>
      </c>
      <c r="D706" s="103">
        <v>58</v>
      </c>
      <c r="E706" s="122">
        <v>2981606</v>
      </c>
      <c r="F706" s="122">
        <v>2966560</v>
      </c>
      <c r="G706" s="227" t="s">
        <v>457</v>
      </c>
      <c r="H706" s="122">
        <v>15046</v>
      </c>
      <c r="I706" s="199">
        <v>0</v>
      </c>
      <c r="J706" s="199">
        <v>0</v>
      </c>
      <c r="K706" s="199">
        <v>0</v>
      </c>
      <c r="L706" s="122">
        <v>15046</v>
      </c>
    </row>
    <row r="707" spans="1:12" ht="15" customHeight="1" x14ac:dyDescent="0.2">
      <c r="A707" s="103" t="s">
        <v>137</v>
      </c>
      <c r="B707" s="198" t="s">
        <v>289</v>
      </c>
      <c r="C707" s="37" t="s">
        <v>290</v>
      </c>
      <c r="D707" s="103">
        <v>308</v>
      </c>
      <c r="E707" s="122">
        <v>68777</v>
      </c>
      <c r="F707" s="122">
        <v>28480</v>
      </c>
      <c r="G707" s="227" t="s">
        <v>457</v>
      </c>
      <c r="H707" s="122">
        <v>40297</v>
      </c>
      <c r="I707" s="199">
        <v>0</v>
      </c>
      <c r="J707" s="199">
        <v>0</v>
      </c>
      <c r="K707" s="199">
        <v>0</v>
      </c>
      <c r="L707" s="122">
        <v>40297</v>
      </c>
    </row>
    <row r="708" spans="1:12" ht="15" customHeight="1" x14ac:dyDescent="0.2">
      <c r="A708" s="103" t="s">
        <v>137</v>
      </c>
      <c r="B708" s="198" t="s">
        <v>257</v>
      </c>
      <c r="C708" s="37" t="s">
        <v>239</v>
      </c>
      <c r="D708" s="103">
        <v>260</v>
      </c>
      <c r="E708" s="122">
        <v>19666966</v>
      </c>
      <c r="F708" s="122">
        <v>18822233</v>
      </c>
      <c r="G708" s="227" t="s">
        <v>457</v>
      </c>
      <c r="H708" s="122">
        <v>844733</v>
      </c>
      <c r="I708" s="122">
        <v>874947</v>
      </c>
      <c r="J708" s="122">
        <v>874947</v>
      </c>
      <c r="K708" s="199">
        <v>0</v>
      </c>
      <c r="L708" s="122">
        <v>844733</v>
      </c>
    </row>
    <row r="709" spans="1:12" ht="15" customHeight="1" x14ac:dyDescent="0.2">
      <c r="A709" s="103" t="s">
        <v>137</v>
      </c>
      <c r="B709" s="198" t="s">
        <v>271</v>
      </c>
      <c r="C709" s="37" t="s">
        <v>272</v>
      </c>
      <c r="D709" s="103">
        <v>346</v>
      </c>
      <c r="E709" s="122">
        <v>6162</v>
      </c>
      <c r="F709" s="122">
        <v>4027</v>
      </c>
      <c r="G709" s="227" t="s">
        <v>457</v>
      </c>
      <c r="H709" s="122">
        <v>2135</v>
      </c>
      <c r="I709" s="199">
        <v>0</v>
      </c>
      <c r="J709" s="199">
        <v>0</v>
      </c>
      <c r="K709" s="199">
        <v>0</v>
      </c>
      <c r="L709" s="122">
        <v>2135</v>
      </c>
    </row>
    <row r="710" spans="1:12" ht="15" customHeight="1" x14ac:dyDescent="0.2">
      <c r="A710" s="103" t="s">
        <v>137</v>
      </c>
      <c r="B710" s="198" t="s">
        <v>260</v>
      </c>
      <c r="C710" s="37" t="s">
        <v>261</v>
      </c>
      <c r="D710" s="103">
        <v>351</v>
      </c>
      <c r="E710" s="122">
        <v>49627</v>
      </c>
      <c r="F710" s="122">
        <v>46027</v>
      </c>
      <c r="G710" s="227" t="s">
        <v>457</v>
      </c>
      <c r="H710" s="122">
        <v>3600</v>
      </c>
      <c r="I710" s="199">
        <v>0</v>
      </c>
      <c r="J710" s="199">
        <v>0</v>
      </c>
      <c r="K710" s="199">
        <v>0</v>
      </c>
      <c r="L710" s="122">
        <v>3600</v>
      </c>
    </row>
    <row r="711" spans="1:12" ht="15.75" customHeight="1" x14ac:dyDescent="0.2">
      <c r="A711" s="206" t="s">
        <v>388</v>
      </c>
      <c r="B711" s="228" t="s">
        <v>457</v>
      </c>
      <c r="C711" s="228" t="s">
        <v>457</v>
      </c>
      <c r="D711" s="228" t="s">
        <v>457</v>
      </c>
      <c r="E711" s="117">
        <f>SUBTOTAL(109,school200506[Program
Costs])</f>
        <v>427207125</v>
      </c>
      <c r="F711" s="117">
        <f>SUBTOTAL(109,school200506[Less: Net
 Payments and 
Offsets 2])</f>
        <v>382189807</v>
      </c>
      <c r="G711" s="228" t="s">
        <v>457</v>
      </c>
      <c r="H711" s="117">
        <f>SUBTOTAL(109,school200506[Accounts Payable
Balance])</f>
        <v>45017318</v>
      </c>
      <c r="I711" s="117">
        <f>SUBTOTAL(109,school200506[Established
Accounts Receivable])</f>
        <v>12998953</v>
      </c>
      <c r="J711" s="117">
        <f>SUBTOTAL(109,school200506[Less: 
Recovered 
Amount])</f>
        <v>10179156</v>
      </c>
      <c r="K711" s="117">
        <f>SUBTOTAL(109,school200506[Accounts Receivable
Balance])</f>
        <v>2819797</v>
      </c>
      <c r="L711" s="117">
        <f>SUBTOTAL(109,school200506[Net
Balance])</f>
        <v>42197521</v>
      </c>
    </row>
    <row r="712" spans="1:12" x14ac:dyDescent="0.2">
      <c r="A712" s="169" t="s">
        <v>463</v>
      </c>
      <c r="B712" s="198"/>
      <c r="C712" s="37"/>
      <c r="D712" s="103"/>
      <c r="E712" s="122"/>
      <c r="F712" s="122"/>
      <c r="G712" s="122"/>
      <c r="H712" s="122"/>
      <c r="I712" s="122"/>
      <c r="J712" s="122"/>
      <c r="K712" s="122"/>
      <c r="L712" s="122"/>
    </row>
    <row r="713" spans="1:12" ht="50.1" customHeight="1" x14ac:dyDescent="0.2">
      <c r="A713" s="40" t="s">
        <v>1</v>
      </c>
      <c r="B713" s="40" t="s">
        <v>15</v>
      </c>
      <c r="C713" s="40" t="s">
        <v>16</v>
      </c>
      <c r="D713" s="40" t="s">
        <v>454</v>
      </c>
      <c r="E713" s="230" t="s">
        <v>3</v>
      </c>
      <c r="F713" s="231" t="s">
        <v>592</v>
      </c>
      <c r="G713" s="232" t="s">
        <v>462</v>
      </c>
      <c r="H713" s="230" t="s">
        <v>461</v>
      </c>
      <c r="I713" s="197" t="s">
        <v>460</v>
      </c>
      <c r="J713" s="230" t="s">
        <v>459</v>
      </c>
      <c r="K713" s="230" t="s">
        <v>458</v>
      </c>
      <c r="L713" s="230" t="s">
        <v>17</v>
      </c>
    </row>
    <row r="714" spans="1:12" ht="15" customHeight="1" x14ac:dyDescent="0.2">
      <c r="A714" s="103" t="s">
        <v>138</v>
      </c>
      <c r="B714" s="198" t="s">
        <v>213</v>
      </c>
      <c r="C714" s="37" t="s">
        <v>214</v>
      </c>
      <c r="D714" s="103">
        <v>269</v>
      </c>
      <c r="E714" s="122">
        <v>11498</v>
      </c>
      <c r="F714" s="122">
        <v>10225</v>
      </c>
      <c r="G714" s="227" t="s">
        <v>457</v>
      </c>
      <c r="H714" s="122">
        <v>1273</v>
      </c>
      <c r="I714" s="199">
        <v>0</v>
      </c>
      <c r="J714" s="199">
        <v>0</v>
      </c>
      <c r="K714" s="199">
        <v>0</v>
      </c>
      <c r="L714" s="122">
        <v>1273</v>
      </c>
    </row>
    <row r="715" spans="1:12" ht="30" customHeight="1" x14ac:dyDescent="0.2">
      <c r="A715" s="103" t="s">
        <v>138</v>
      </c>
      <c r="B715" s="198" t="s">
        <v>334</v>
      </c>
      <c r="C715" s="37" t="s">
        <v>335</v>
      </c>
      <c r="D715" s="103">
        <v>179</v>
      </c>
      <c r="E715" s="122">
        <v>35823</v>
      </c>
      <c r="F715" s="122">
        <v>35823</v>
      </c>
      <c r="G715" s="227" t="s">
        <v>457</v>
      </c>
      <c r="H715" s="199">
        <v>0</v>
      </c>
      <c r="I715" s="122">
        <v>1728</v>
      </c>
      <c r="J715" s="199">
        <v>0</v>
      </c>
      <c r="K715" s="122">
        <v>1728</v>
      </c>
      <c r="L715" s="122">
        <v>-1728</v>
      </c>
    </row>
    <row r="716" spans="1:12" ht="30" customHeight="1" x14ac:dyDescent="0.2">
      <c r="A716" s="103" t="s">
        <v>138</v>
      </c>
      <c r="B716" s="198" t="s">
        <v>336</v>
      </c>
      <c r="C716" s="37" t="s">
        <v>228</v>
      </c>
      <c r="D716" s="103">
        <v>221</v>
      </c>
      <c r="E716" s="122">
        <v>6550640</v>
      </c>
      <c r="F716" s="122">
        <v>6550640</v>
      </c>
      <c r="G716" s="227" t="s">
        <v>457</v>
      </c>
      <c r="H716" s="199">
        <v>0</v>
      </c>
      <c r="I716" s="122">
        <v>11682</v>
      </c>
      <c r="J716" s="122">
        <v>1131</v>
      </c>
      <c r="K716" s="122">
        <v>10551</v>
      </c>
      <c r="L716" s="122">
        <v>-10551</v>
      </c>
    </row>
    <row r="717" spans="1:12" ht="30" customHeight="1" x14ac:dyDescent="0.2">
      <c r="A717" s="103" t="s">
        <v>138</v>
      </c>
      <c r="B717" s="198" t="s">
        <v>300</v>
      </c>
      <c r="C717" s="37" t="s">
        <v>296</v>
      </c>
      <c r="D717" s="103">
        <v>348</v>
      </c>
      <c r="E717" s="122">
        <v>45784627</v>
      </c>
      <c r="F717" s="122">
        <v>40536570</v>
      </c>
      <c r="G717" s="227" t="s">
        <v>457</v>
      </c>
      <c r="H717" s="122">
        <v>5248057</v>
      </c>
      <c r="I717" s="199">
        <v>0</v>
      </c>
      <c r="J717" s="199">
        <v>0</v>
      </c>
      <c r="K717" s="199">
        <v>0</v>
      </c>
      <c r="L717" s="122">
        <v>5248057</v>
      </c>
    </row>
    <row r="718" spans="1:12" ht="30" customHeight="1" x14ac:dyDescent="0.2">
      <c r="A718" s="103" t="s">
        <v>138</v>
      </c>
      <c r="B718" s="198" t="s">
        <v>215</v>
      </c>
      <c r="C718" s="37" t="s">
        <v>216</v>
      </c>
      <c r="D718" s="103">
        <v>286</v>
      </c>
      <c r="E718" s="122">
        <v>84930</v>
      </c>
      <c r="F718" s="122">
        <v>83406</v>
      </c>
      <c r="G718" s="227" t="s">
        <v>457</v>
      </c>
      <c r="H718" s="122">
        <v>1524</v>
      </c>
      <c r="I718" s="199">
        <v>0</v>
      </c>
      <c r="J718" s="199">
        <v>0</v>
      </c>
      <c r="K718" s="199">
        <v>0</v>
      </c>
      <c r="L718" s="122">
        <v>1524</v>
      </c>
    </row>
    <row r="719" spans="1:12" ht="30" customHeight="1" x14ac:dyDescent="0.2">
      <c r="A719" s="103" t="s">
        <v>138</v>
      </c>
      <c r="B719" s="198" t="s">
        <v>221</v>
      </c>
      <c r="C719" s="37" t="s">
        <v>222</v>
      </c>
      <c r="D719" s="103">
        <v>172</v>
      </c>
      <c r="E719" s="122">
        <v>862291</v>
      </c>
      <c r="F719" s="122">
        <v>862291</v>
      </c>
      <c r="G719" s="227" t="s">
        <v>457</v>
      </c>
      <c r="H719" s="199">
        <v>0</v>
      </c>
      <c r="I719" s="122">
        <v>8341</v>
      </c>
      <c r="J719" s="199">
        <v>0</v>
      </c>
      <c r="K719" s="122">
        <v>8341</v>
      </c>
      <c r="L719" s="122">
        <v>-8341</v>
      </c>
    </row>
    <row r="720" spans="1:12" ht="30" customHeight="1" x14ac:dyDescent="0.2">
      <c r="A720" s="103" t="s">
        <v>138</v>
      </c>
      <c r="B720" s="198" t="s">
        <v>227</v>
      </c>
      <c r="C720" s="37" t="s">
        <v>228</v>
      </c>
      <c r="D720" s="103">
        <v>272</v>
      </c>
      <c r="E720" s="122">
        <v>3836796</v>
      </c>
      <c r="F720" s="122">
        <v>3836796</v>
      </c>
      <c r="G720" s="227" t="s">
        <v>457</v>
      </c>
      <c r="H720" s="199">
        <v>0</v>
      </c>
      <c r="I720" s="122">
        <v>232908</v>
      </c>
      <c r="J720" s="122">
        <v>228852</v>
      </c>
      <c r="K720" s="122">
        <v>4056</v>
      </c>
      <c r="L720" s="122">
        <v>-4056</v>
      </c>
    </row>
    <row r="721" spans="1:12" ht="45" customHeight="1" x14ac:dyDescent="0.2">
      <c r="A721" s="103" t="s">
        <v>138</v>
      </c>
      <c r="B721" s="198" t="s">
        <v>319</v>
      </c>
      <c r="C721" s="37" t="s">
        <v>320</v>
      </c>
      <c r="D721" s="103">
        <v>291</v>
      </c>
      <c r="E721" s="122">
        <v>278636</v>
      </c>
      <c r="F721" s="122">
        <v>243156</v>
      </c>
      <c r="G721" s="227" t="s">
        <v>457</v>
      </c>
      <c r="H721" s="122">
        <v>35480</v>
      </c>
      <c r="I721" s="199">
        <v>0</v>
      </c>
      <c r="J721" s="199">
        <v>0</v>
      </c>
      <c r="K721" s="199">
        <v>0</v>
      </c>
      <c r="L721" s="122">
        <v>35480</v>
      </c>
    </row>
    <row r="722" spans="1:12" ht="15" customHeight="1" x14ac:dyDescent="0.2">
      <c r="A722" s="103" t="s">
        <v>138</v>
      </c>
      <c r="B722" s="198" t="s">
        <v>235</v>
      </c>
      <c r="C722" s="37" t="s">
        <v>236</v>
      </c>
      <c r="D722" s="103">
        <v>183</v>
      </c>
      <c r="E722" s="122">
        <v>973469</v>
      </c>
      <c r="F722" s="122">
        <v>973469</v>
      </c>
      <c r="G722" s="227" t="s">
        <v>457</v>
      </c>
      <c r="H722" s="199">
        <v>0</v>
      </c>
      <c r="I722" s="122">
        <v>4109</v>
      </c>
      <c r="J722" s="122">
        <v>2598</v>
      </c>
      <c r="K722" s="122">
        <v>1511</v>
      </c>
      <c r="L722" s="122">
        <v>-1511</v>
      </c>
    </row>
    <row r="723" spans="1:12" ht="15" customHeight="1" x14ac:dyDescent="0.2">
      <c r="A723" s="103" t="s">
        <v>138</v>
      </c>
      <c r="B723" s="198" t="s">
        <v>264</v>
      </c>
      <c r="C723" s="37" t="s">
        <v>265</v>
      </c>
      <c r="D723" s="103">
        <v>251</v>
      </c>
      <c r="E723" s="122">
        <v>410381</v>
      </c>
      <c r="F723" s="122">
        <v>410381</v>
      </c>
      <c r="G723" s="227" t="s">
        <v>457</v>
      </c>
      <c r="H723" s="199">
        <v>0</v>
      </c>
      <c r="I723" s="122">
        <v>13269</v>
      </c>
      <c r="J723" s="199">
        <v>0</v>
      </c>
      <c r="K723" s="122">
        <v>13269</v>
      </c>
      <c r="L723" s="122">
        <v>-13269</v>
      </c>
    </row>
    <row r="724" spans="1:12" ht="30" customHeight="1" x14ac:dyDescent="0.2">
      <c r="A724" s="103" t="s">
        <v>138</v>
      </c>
      <c r="B724" s="198" t="s">
        <v>337</v>
      </c>
      <c r="C724" s="37" t="s">
        <v>338</v>
      </c>
      <c r="D724" s="103">
        <v>225</v>
      </c>
      <c r="E724" s="122">
        <v>7701246</v>
      </c>
      <c r="F724" s="122">
        <v>7701246</v>
      </c>
      <c r="G724" s="227" t="s">
        <v>457</v>
      </c>
      <c r="H724" s="199">
        <v>0</v>
      </c>
      <c r="I724" s="122">
        <v>2282478</v>
      </c>
      <c r="J724" s="122">
        <v>2230738</v>
      </c>
      <c r="K724" s="122">
        <v>51740</v>
      </c>
      <c r="L724" s="122">
        <v>-51740</v>
      </c>
    </row>
    <row r="725" spans="1:12" ht="15" customHeight="1" x14ac:dyDescent="0.2">
      <c r="A725" s="103" t="s">
        <v>138</v>
      </c>
      <c r="B725" s="198" t="s">
        <v>237</v>
      </c>
      <c r="C725" s="37" t="s">
        <v>208</v>
      </c>
      <c r="D725" s="103">
        <v>192</v>
      </c>
      <c r="E725" s="122">
        <v>326816</v>
      </c>
      <c r="F725" s="122">
        <v>326816</v>
      </c>
      <c r="G725" s="227" t="s">
        <v>457</v>
      </c>
      <c r="H725" s="199">
        <v>0</v>
      </c>
      <c r="I725" s="122">
        <v>28443</v>
      </c>
      <c r="J725" s="122">
        <v>16875</v>
      </c>
      <c r="K725" s="122">
        <v>11568</v>
      </c>
      <c r="L725" s="122">
        <v>-11568</v>
      </c>
    </row>
    <row r="726" spans="1:12" ht="15" customHeight="1" x14ac:dyDescent="0.2">
      <c r="A726" s="103" t="s">
        <v>138</v>
      </c>
      <c r="B726" s="198" t="s">
        <v>321</v>
      </c>
      <c r="C726" s="37" t="s">
        <v>239</v>
      </c>
      <c r="D726" s="103">
        <v>26</v>
      </c>
      <c r="E726" s="122">
        <v>32114075</v>
      </c>
      <c r="F726" s="122">
        <v>29994233</v>
      </c>
      <c r="G726" s="227" t="s">
        <v>457</v>
      </c>
      <c r="H726" s="122">
        <v>2119842</v>
      </c>
      <c r="I726" s="122">
        <v>1642371</v>
      </c>
      <c r="J726" s="199">
        <v>0</v>
      </c>
      <c r="K726" s="122">
        <v>1642371</v>
      </c>
      <c r="L726" s="122">
        <v>477471</v>
      </c>
    </row>
    <row r="727" spans="1:12" ht="15" customHeight="1" x14ac:dyDescent="0.2">
      <c r="A727" s="103" t="s">
        <v>138</v>
      </c>
      <c r="B727" s="198" t="s">
        <v>339</v>
      </c>
      <c r="C727" s="37" t="s">
        <v>239</v>
      </c>
      <c r="D727" s="103">
        <v>296</v>
      </c>
      <c r="E727" s="122">
        <v>74192532</v>
      </c>
      <c r="F727" s="122">
        <v>69857272</v>
      </c>
      <c r="G727" s="227" t="s">
        <v>457</v>
      </c>
      <c r="H727" s="122">
        <v>4335260</v>
      </c>
      <c r="I727" s="199">
        <v>0</v>
      </c>
      <c r="J727" s="199">
        <v>0</v>
      </c>
      <c r="K727" s="199">
        <v>0</v>
      </c>
      <c r="L727" s="122">
        <v>4335260</v>
      </c>
    </row>
    <row r="728" spans="1:12" ht="15" customHeight="1" x14ac:dyDescent="0.2">
      <c r="A728" s="103" t="s">
        <v>138</v>
      </c>
      <c r="B728" s="198" t="s">
        <v>238</v>
      </c>
      <c r="C728" s="37" t="s">
        <v>239</v>
      </c>
      <c r="D728" s="103">
        <v>297</v>
      </c>
      <c r="E728" s="122">
        <v>98984746</v>
      </c>
      <c r="F728" s="122">
        <v>88044270</v>
      </c>
      <c r="G728" s="227" t="s">
        <v>457</v>
      </c>
      <c r="H728" s="122">
        <v>10940476</v>
      </c>
      <c r="I728" s="199">
        <v>0</v>
      </c>
      <c r="J728" s="199">
        <v>0</v>
      </c>
      <c r="K728" s="199">
        <v>0</v>
      </c>
      <c r="L728" s="122">
        <v>10940476</v>
      </c>
    </row>
    <row r="729" spans="1:12" ht="15" customHeight="1" x14ac:dyDescent="0.2">
      <c r="A729" s="103" t="s">
        <v>138</v>
      </c>
      <c r="B729" s="198" t="s">
        <v>240</v>
      </c>
      <c r="C729" s="37" t="s">
        <v>241</v>
      </c>
      <c r="D729" s="103">
        <v>166</v>
      </c>
      <c r="E729" s="122">
        <v>6520086</v>
      </c>
      <c r="F729" s="122">
        <v>6520086</v>
      </c>
      <c r="G729" s="227" t="s">
        <v>457</v>
      </c>
      <c r="H729" s="199">
        <v>0</v>
      </c>
      <c r="I729" s="122">
        <v>86788</v>
      </c>
      <c r="J729" s="122">
        <v>11989</v>
      </c>
      <c r="K729" s="122">
        <v>74799</v>
      </c>
      <c r="L729" s="122">
        <v>-74799</v>
      </c>
    </row>
    <row r="730" spans="1:12" ht="15" customHeight="1" x14ac:dyDescent="0.2">
      <c r="A730" s="103" t="s">
        <v>138</v>
      </c>
      <c r="B730" s="198" t="s">
        <v>282</v>
      </c>
      <c r="C730" s="37" t="s">
        <v>283</v>
      </c>
      <c r="D730" s="103">
        <v>268</v>
      </c>
      <c r="E730" s="122">
        <v>3860641</v>
      </c>
      <c r="F730" s="122">
        <v>3406080</v>
      </c>
      <c r="G730" s="227" t="s">
        <v>457</v>
      </c>
      <c r="H730" s="122">
        <v>454561</v>
      </c>
      <c r="I730" s="199">
        <v>0</v>
      </c>
      <c r="J730" s="199">
        <v>0</v>
      </c>
      <c r="K730" s="199">
        <v>0</v>
      </c>
      <c r="L730" s="122">
        <v>454561</v>
      </c>
    </row>
    <row r="731" spans="1:12" ht="15" customHeight="1" x14ac:dyDescent="0.2">
      <c r="A731" s="103" t="s">
        <v>138</v>
      </c>
      <c r="B731" s="198" t="s">
        <v>242</v>
      </c>
      <c r="C731" s="37" t="s">
        <v>243</v>
      </c>
      <c r="D731" s="103">
        <v>32</v>
      </c>
      <c r="E731" s="122">
        <v>3750504</v>
      </c>
      <c r="F731" s="122">
        <v>3750504</v>
      </c>
      <c r="G731" s="227" t="s">
        <v>457</v>
      </c>
      <c r="H731" s="199">
        <v>0</v>
      </c>
      <c r="I731" s="122">
        <v>7395</v>
      </c>
      <c r="J731" s="122">
        <v>5028</v>
      </c>
      <c r="K731" s="122">
        <v>2367</v>
      </c>
      <c r="L731" s="122">
        <v>-2367</v>
      </c>
    </row>
    <row r="732" spans="1:12" ht="15" customHeight="1" x14ac:dyDescent="0.2">
      <c r="A732" s="103" t="s">
        <v>138</v>
      </c>
      <c r="B732" s="198" t="s">
        <v>297</v>
      </c>
      <c r="C732" s="37" t="s">
        <v>245</v>
      </c>
      <c r="D732" s="103">
        <v>230</v>
      </c>
      <c r="E732" s="122">
        <v>4852850</v>
      </c>
      <c r="F732" s="122">
        <v>4852850</v>
      </c>
      <c r="G732" s="227" t="s">
        <v>457</v>
      </c>
      <c r="H732" s="199">
        <v>0</v>
      </c>
      <c r="I732" s="122">
        <v>4855</v>
      </c>
      <c r="J732" s="122">
        <v>3446</v>
      </c>
      <c r="K732" s="122">
        <v>1409</v>
      </c>
      <c r="L732" s="122">
        <v>-1409</v>
      </c>
    </row>
    <row r="733" spans="1:12" ht="15" customHeight="1" x14ac:dyDescent="0.2">
      <c r="A733" s="103" t="s">
        <v>138</v>
      </c>
      <c r="B733" s="198" t="s">
        <v>82</v>
      </c>
      <c r="C733" s="37" t="s">
        <v>83</v>
      </c>
      <c r="D733" s="103">
        <v>42</v>
      </c>
      <c r="E733" s="122">
        <v>16145396</v>
      </c>
      <c r="F733" s="122">
        <v>16145396</v>
      </c>
      <c r="G733" s="227" t="s">
        <v>457</v>
      </c>
      <c r="H733" s="199">
        <v>0</v>
      </c>
      <c r="I733" s="122">
        <v>182770</v>
      </c>
      <c r="J733" s="122">
        <v>2252</v>
      </c>
      <c r="K733" s="122">
        <v>180518</v>
      </c>
      <c r="L733" s="122">
        <v>-180518</v>
      </c>
    </row>
    <row r="734" spans="1:12" ht="45" x14ac:dyDescent="0.2">
      <c r="A734" s="103" t="s">
        <v>138</v>
      </c>
      <c r="B734" s="198" t="s">
        <v>317</v>
      </c>
      <c r="C734" s="37" t="s">
        <v>318</v>
      </c>
      <c r="D734" s="103">
        <v>265</v>
      </c>
      <c r="E734" s="122">
        <v>2009884</v>
      </c>
      <c r="F734" s="122">
        <v>1993510</v>
      </c>
      <c r="G734" s="227" t="s">
        <v>457</v>
      </c>
      <c r="H734" s="122">
        <v>16374</v>
      </c>
      <c r="I734" s="199">
        <v>0</v>
      </c>
      <c r="J734" s="199">
        <v>0</v>
      </c>
      <c r="K734" s="199">
        <v>0</v>
      </c>
      <c r="L734" s="122">
        <v>16374</v>
      </c>
    </row>
    <row r="735" spans="1:12" ht="15" customHeight="1" x14ac:dyDescent="0.2">
      <c r="A735" s="103" t="s">
        <v>138</v>
      </c>
      <c r="B735" s="198" t="s">
        <v>250</v>
      </c>
      <c r="C735" s="37" t="s">
        <v>239</v>
      </c>
      <c r="D735" s="103">
        <v>48</v>
      </c>
      <c r="E735" s="122">
        <v>9725477</v>
      </c>
      <c r="F735" s="122">
        <v>9725477</v>
      </c>
      <c r="G735" s="227" t="s">
        <v>457</v>
      </c>
      <c r="H735" s="199">
        <v>0</v>
      </c>
      <c r="I735" s="122">
        <v>253984</v>
      </c>
      <c r="J735" s="122">
        <v>193565</v>
      </c>
      <c r="K735" s="122">
        <v>60419</v>
      </c>
      <c r="L735" s="122">
        <v>-60419</v>
      </c>
    </row>
    <row r="736" spans="1:12" ht="30" customHeight="1" x14ac:dyDescent="0.2">
      <c r="A736" s="103" t="s">
        <v>138</v>
      </c>
      <c r="B736" s="198" t="s">
        <v>322</v>
      </c>
      <c r="C736" s="37" t="s">
        <v>232</v>
      </c>
      <c r="D736" s="103">
        <v>150</v>
      </c>
      <c r="E736" s="122">
        <v>5227141</v>
      </c>
      <c r="F736" s="122">
        <v>5227141</v>
      </c>
      <c r="G736" s="227" t="s">
        <v>457</v>
      </c>
      <c r="H736" s="199">
        <v>0</v>
      </c>
      <c r="I736" s="122">
        <v>1755</v>
      </c>
      <c r="J736" s="199">
        <v>0</v>
      </c>
      <c r="K736" s="122">
        <v>1755</v>
      </c>
      <c r="L736" s="122">
        <v>-1755</v>
      </c>
    </row>
    <row r="737" spans="1:12" ht="15" customHeight="1" x14ac:dyDescent="0.2">
      <c r="A737" s="103" t="s">
        <v>138</v>
      </c>
      <c r="B737" s="198" t="s">
        <v>71</v>
      </c>
      <c r="C737" s="37" t="s">
        <v>72</v>
      </c>
      <c r="D737" s="103">
        <v>218</v>
      </c>
      <c r="E737" s="122">
        <v>5581677</v>
      </c>
      <c r="F737" s="122">
        <v>5355504</v>
      </c>
      <c r="G737" s="227" t="s">
        <v>457</v>
      </c>
      <c r="H737" s="122">
        <v>226173</v>
      </c>
      <c r="I737" s="199">
        <v>0</v>
      </c>
      <c r="J737" s="199">
        <v>0</v>
      </c>
      <c r="K737" s="199">
        <v>0</v>
      </c>
      <c r="L737" s="122">
        <v>226173</v>
      </c>
    </row>
    <row r="738" spans="1:12" ht="15" customHeight="1" x14ac:dyDescent="0.2">
      <c r="A738" s="103" t="s">
        <v>138</v>
      </c>
      <c r="B738" s="198" t="s">
        <v>268</v>
      </c>
      <c r="C738" s="37" t="s">
        <v>269</v>
      </c>
      <c r="D738" s="103">
        <v>173</v>
      </c>
      <c r="E738" s="122">
        <v>1645083</v>
      </c>
      <c r="F738" s="122">
        <v>1645083</v>
      </c>
      <c r="G738" s="227" t="s">
        <v>457</v>
      </c>
      <c r="H738" s="199">
        <v>0</v>
      </c>
      <c r="I738" s="122">
        <v>16194</v>
      </c>
      <c r="J738" s="122">
        <v>2044</v>
      </c>
      <c r="K738" s="122">
        <v>14150</v>
      </c>
      <c r="L738" s="122">
        <v>-14150</v>
      </c>
    </row>
    <row r="739" spans="1:12" s="229" customFormat="1" ht="15" customHeight="1" x14ac:dyDescent="0.2">
      <c r="A739" s="103" t="s">
        <v>138</v>
      </c>
      <c r="B739" s="198" t="s">
        <v>298</v>
      </c>
      <c r="C739" s="37" t="s">
        <v>299</v>
      </c>
      <c r="D739" s="103">
        <v>335</v>
      </c>
      <c r="E739" s="122">
        <v>34552</v>
      </c>
      <c r="F739" s="122">
        <v>32163</v>
      </c>
      <c r="G739" s="227" t="s">
        <v>457</v>
      </c>
      <c r="H739" s="122">
        <v>2389</v>
      </c>
      <c r="I739" s="199">
        <v>0</v>
      </c>
      <c r="J739" s="199">
        <v>0</v>
      </c>
      <c r="K739" s="199">
        <v>0</v>
      </c>
      <c r="L739" s="122">
        <v>2389</v>
      </c>
    </row>
    <row r="740" spans="1:12" ht="15" customHeight="1" x14ac:dyDescent="0.2">
      <c r="A740" s="103" t="s">
        <v>138</v>
      </c>
      <c r="B740" s="198" t="s">
        <v>331</v>
      </c>
      <c r="C740" s="37" t="s">
        <v>332</v>
      </c>
      <c r="D740" s="103">
        <v>151</v>
      </c>
      <c r="E740" s="122">
        <v>284214</v>
      </c>
      <c r="F740" s="122">
        <v>284214</v>
      </c>
      <c r="G740" s="227" t="s">
        <v>457</v>
      </c>
      <c r="H740" s="199">
        <v>0</v>
      </c>
      <c r="I740" s="122">
        <v>21795</v>
      </c>
      <c r="J740" s="199">
        <v>0</v>
      </c>
      <c r="K740" s="122">
        <v>21795</v>
      </c>
      <c r="L740" s="122">
        <v>-21795</v>
      </c>
    </row>
    <row r="741" spans="1:12" ht="15" customHeight="1" x14ac:dyDescent="0.2">
      <c r="A741" s="103" t="s">
        <v>138</v>
      </c>
      <c r="B741" s="198" t="s">
        <v>340</v>
      </c>
      <c r="C741" s="37" t="s">
        <v>341</v>
      </c>
      <c r="D741" s="103">
        <v>165</v>
      </c>
      <c r="E741" s="122">
        <v>2729603</v>
      </c>
      <c r="F741" s="122">
        <v>2729603</v>
      </c>
      <c r="G741" s="227" t="s">
        <v>457</v>
      </c>
      <c r="H741" s="199">
        <v>0</v>
      </c>
      <c r="I741" s="122">
        <v>3259</v>
      </c>
      <c r="J741" s="199">
        <v>0</v>
      </c>
      <c r="K741" s="122">
        <v>3259</v>
      </c>
      <c r="L741" s="122">
        <v>-3259</v>
      </c>
    </row>
    <row r="742" spans="1:12" ht="30" customHeight="1" x14ac:dyDescent="0.2">
      <c r="A742" s="103" t="s">
        <v>138</v>
      </c>
      <c r="B742" s="198" t="s">
        <v>333</v>
      </c>
      <c r="C742" s="37" t="s">
        <v>226</v>
      </c>
      <c r="D742" s="103">
        <v>271</v>
      </c>
      <c r="E742" s="122">
        <v>3862106</v>
      </c>
      <c r="F742" s="122">
        <v>3774564</v>
      </c>
      <c r="G742" s="227" t="s">
        <v>457</v>
      </c>
      <c r="H742" s="122">
        <v>87542</v>
      </c>
      <c r="I742" s="199">
        <v>0</v>
      </c>
      <c r="J742" s="199">
        <v>0</v>
      </c>
      <c r="K742" s="199">
        <v>0</v>
      </c>
      <c r="L742" s="122">
        <v>87542</v>
      </c>
    </row>
    <row r="743" spans="1:12" ht="45" x14ac:dyDescent="0.2">
      <c r="A743" s="103" t="s">
        <v>138</v>
      </c>
      <c r="B743" s="198" t="s">
        <v>303</v>
      </c>
      <c r="C743" s="37" t="s">
        <v>304</v>
      </c>
      <c r="D743" s="103">
        <v>329</v>
      </c>
      <c r="E743" s="122">
        <v>797628</v>
      </c>
      <c r="F743" s="122">
        <v>728354</v>
      </c>
      <c r="G743" s="227" t="s">
        <v>457</v>
      </c>
      <c r="H743" s="122">
        <v>69274</v>
      </c>
      <c r="I743" s="199">
        <v>0</v>
      </c>
      <c r="J743" s="199">
        <v>0</v>
      </c>
      <c r="K743" s="199">
        <v>0</v>
      </c>
      <c r="L743" s="122">
        <v>69274</v>
      </c>
    </row>
    <row r="744" spans="1:12" ht="15" customHeight="1" x14ac:dyDescent="0.2">
      <c r="A744" s="103" t="s">
        <v>138</v>
      </c>
      <c r="B744" s="198" t="s">
        <v>342</v>
      </c>
      <c r="C744" s="37" t="s">
        <v>276</v>
      </c>
      <c r="D744" s="103">
        <v>139</v>
      </c>
      <c r="E744" s="122">
        <v>357362</v>
      </c>
      <c r="F744" s="122">
        <v>357362</v>
      </c>
      <c r="G744" s="227" t="s">
        <v>457</v>
      </c>
      <c r="H744" s="199">
        <v>0</v>
      </c>
      <c r="I744" s="122">
        <v>160350</v>
      </c>
      <c r="J744" s="122">
        <v>1165</v>
      </c>
      <c r="K744" s="122">
        <v>159185</v>
      </c>
      <c r="L744" s="122">
        <v>-159185</v>
      </c>
    </row>
    <row r="745" spans="1:12" ht="15" customHeight="1" x14ac:dyDescent="0.2">
      <c r="A745" s="103" t="s">
        <v>138</v>
      </c>
      <c r="B745" s="198" t="s">
        <v>270</v>
      </c>
      <c r="C745" s="37" t="s">
        <v>256</v>
      </c>
      <c r="D745" s="103">
        <v>244</v>
      </c>
      <c r="E745" s="122">
        <v>2403492</v>
      </c>
      <c r="F745" s="122">
        <v>2403492</v>
      </c>
      <c r="G745" s="227" t="s">
        <v>457</v>
      </c>
      <c r="H745" s="199">
        <v>0</v>
      </c>
      <c r="I745" s="122">
        <v>141792</v>
      </c>
      <c r="J745" s="122">
        <v>135246</v>
      </c>
      <c r="K745" s="122">
        <v>6546</v>
      </c>
      <c r="L745" s="122">
        <v>-6546</v>
      </c>
    </row>
    <row r="746" spans="1:12" ht="15" customHeight="1" x14ac:dyDescent="0.2">
      <c r="A746" s="103" t="s">
        <v>138</v>
      </c>
      <c r="B746" s="198" t="s">
        <v>286</v>
      </c>
      <c r="C746" s="37" t="s">
        <v>239</v>
      </c>
      <c r="D746" s="103">
        <v>280</v>
      </c>
      <c r="E746" s="122">
        <v>6645</v>
      </c>
      <c r="F746" s="122">
        <v>5582</v>
      </c>
      <c r="G746" s="227" t="s">
        <v>457</v>
      </c>
      <c r="H746" s="122">
        <v>1063</v>
      </c>
      <c r="I746" s="199">
        <v>0</v>
      </c>
      <c r="J746" s="199">
        <v>0</v>
      </c>
      <c r="K746" s="199">
        <v>0</v>
      </c>
      <c r="L746" s="122">
        <v>1063</v>
      </c>
    </row>
    <row r="747" spans="1:12" ht="15" customHeight="1" x14ac:dyDescent="0.2">
      <c r="A747" s="103" t="s">
        <v>138</v>
      </c>
      <c r="B747" s="198" t="s">
        <v>305</v>
      </c>
      <c r="C747" s="37" t="s">
        <v>226</v>
      </c>
      <c r="D747" s="103">
        <v>176</v>
      </c>
      <c r="E747" s="122">
        <v>2348778</v>
      </c>
      <c r="F747" s="122">
        <v>2348778</v>
      </c>
      <c r="G747" s="227" t="s">
        <v>457</v>
      </c>
      <c r="H747" s="199">
        <v>0</v>
      </c>
      <c r="I747" s="122">
        <v>14847</v>
      </c>
      <c r="J747" s="122">
        <v>6905</v>
      </c>
      <c r="K747" s="122">
        <v>7942</v>
      </c>
      <c r="L747" s="122">
        <v>-7942</v>
      </c>
    </row>
    <row r="748" spans="1:12" ht="15" customHeight="1" x14ac:dyDescent="0.2">
      <c r="A748" s="103" t="s">
        <v>138</v>
      </c>
      <c r="B748" s="198" t="s">
        <v>310</v>
      </c>
      <c r="C748" s="37" t="s">
        <v>311</v>
      </c>
      <c r="D748" s="103">
        <v>57</v>
      </c>
      <c r="E748" s="122">
        <v>1056561</v>
      </c>
      <c r="F748" s="122">
        <v>1000245</v>
      </c>
      <c r="G748" s="227" t="s">
        <v>457</v>
      </c>
      <c r="H748" s="122">
        <v>56316</v>
      </c>
      <c r="I748" s="199">
        <v>0</v>
      </c>
      <c r="J748" s="199">
        <v>0</v>
      </c>
      <c r="K748" s="199">
        <v>0</v>
      </c>
      <c r="L748" s="122">
        <v>56316</v>
      </c>
    </row>
    <row r="749" spans="1:12" ht="15" customHeight="1" x14ac:dyDescent="0.2">
      <c r="A749" s="103" t="s">
        <v>138</v>
      </c>
      <c r="B749" s="198" t="s">
        <v>253</v>
      </c>
      <c r="C749" s="37" t="s">
        <v>254</v>
      </c>
      <c r="D749" s="103">
        <v>171</v>
      </c>
      <c r="E749" s="122">
        <v>3389554</v>
      </c>
      <c r="F749" s="122">
        <v>3389554</v>
      </c>
      <c r="G749" s="227" t="s">
        <v>457</v>
      </c>
      <c r="H749" s="199">
        <v>0</v>
      </c>
      <c r="I749" s="122">
        <v>93191</v>
      </c>
      <c r="J749" s="122">
        <v>1158</v>
      </c>
      <c r="K749" s="122">
        <v>92033</v>
      </c>
      <c r="L749" s="122">
        <v>-92033</v>
      </c>
    </row>
    <row r="750" spans="1:12" ht="15" customHeight="1" x14ac:dyDescent="0.2">
      <c r="A750" s="103" t="s">
        <v>138</v>
      </c>
      <c r="B750" s="198" t="s">
        <v>343</v>
      </c>
      <c r="C750" s="37" t="s">
        <v>256</v>
      </c>
      <c r="D750" s="103">
        <v>211</v>
      </c>
      <c r="E750" s="122">
        <v>2257308</v>
      </c>
      <c r="F750" s="122">
        <v>2257308</v>
      </c>
      <c r="G750" s="227" t="s">
        <v>457</v>
      </c>
      <c r="H750" s="199">
        <v>0</v>
      </c>
      <c r="I750" s="122">
        <v>23731</v>
      </c>
      <c r="J750" s="122">
        <v>2908</v>
      </c>
      <c r="K750" s="122">
        <v>20823</v>
      </c>
      <c r="L750" s="122">
        <v>-20823</v>
      </c>
    </row>
    <row r="751" spans="1:12" ht="15" customHeight="1" x14ac:dyDescent="0.2">
      <c r="A751" s="103" t="s">
        <v>138</v>
      </c>
      <c r="B751" s="198" t="s">
        <v>312</v>
      </c>
      <c r="C751" s="37" t="s">
        <v>313</v>
      </c>
      <c r="D751" s="103">
        <v>58</v>
      </c>
      <c r="E751" s="122">
        <v>2736820</v>
      </c>
      <c r="F751" s="122">
        <v>2736820</v>
      </c>
      <c r="G751" s="227" t="s">
        <v>457</v>
      </c>
      <c r="H751" s="199">
        <v>0</v>
      </c>
      <c r="I751" s="122">
        <v>6670</v>
      </c>
      <c r="J751" s="122">
        <v>5607</v>
      </c>
      <c r="K751" s="122">
        <v>1063</v>
      </c>
      <c r="L751" s="122">
        <v>-1063</v>
      </c>
    </row>
    <row r="752" spans="1:12" ht="15" customHeight="1" x14ac:dyDescent="0.2">
      <c r="A752" s="103" t="s">
        <v>138</v>
      </c>
      <c r="B752" s="198" t="s">
        <v>289</v>
      </c>
      <c r="C752" s="37" t="s">
        <v>290</v>
      </c>
      <c r="D752" s="103">
        <v>308</v>
      </c>
      <c r="E752" s="122">
        <v>75037</v>
      </c>
      <c r="F752" s="122">
        <v>67868</v>
      </c>
      <c r="G752" s="227" t="s">
        <v>457</v>
      </c>
      <c r="H752" s="122">
        <v>7169</v>
      </c>
      <c r="I752" s="199">
        <v>0</v>
      </c>
      <c r="J752" s="199">
        <v>0</v>
      </c>
      <c r="K752" s="199">
        <v>0</v>
      </c>
      <c r="L752" s="122">
        <v>7169</v>
      </c>
    </row>
    <row r="753" spans="1:12" ht="15" customHeight="1" x14ac:dyDescent="0.2">
      <c r="A753" s="103" t="s">
        <v>138</v>
      </c>
      <c r="B753" s="198" t="s">
        <v>257</v>
      </c>
      <c r="C753" s="37" t="s">
        <v>239</v>
      </c>
      <c r="D753" s="103">
        <v>260</v>
      </c>
      <c r="E753" s="122">
        <v>16948232</v>
      </c>
      <c r="F753" s="122">
        <v>16421195</v>
      </c>
      <c r="G753" s="227" t="s">
        <v>457</v>
      </c>
      <c r="H753" s="122">
        <v>527037</v>
      </c>
      <c r="I753" s="122">
        <v>857594</v>
      </c>
      <c r="J753" s="122">
        <v>857594</v>
      </c>
      <c r="K753" s="199">
        <v>0</v>
      </c>
      <c r="L753" s="122">
        <v>527037</v>
      </c>
    </row>
    <row r="754" spans="1:12" ht="15" customHeight="1" x14ac:dyDescent="0.2">
      <c r="A754" s="206" t="s">
        <v>389</v>
      </c>
      <c r="B754" s="228" t="s">
        <v>457</v>
      </c>
      <c r="C754" s="228" t="s">
        <v>457</v>
      </c>
      <c r="D754" s="228" t="s">
        <v>457</v>
      </c>
      <c r="E754" s="117">
        <f>SUBTOTAL(109,school200405[Program
Costs])</f>
        <v>370755137</v>
      </c>
      <c r="F754" s="117">
        <f>SUBTOTAL(109,school200405[Less: Net
 Payments and 
Offsets 2])</f>
        <v>346625327</v>
      </c>
      <c r="G754" s="228" t="s">
        <v>457</v>
      </c>
      <c r="H754" s="117">
        <f>SUBTOTAL(109,school200405[Accounts Payable
Balance])</f>
        <v>24129810</v>
      </c>
      <c r="I754" s="117">
        <f>SUBTOTAL(109,school200405[Established
Accounts Receivable])</f>
        <v>6102299</v>
      </c>
      <c r="J754" s="117">
        <f>SUBTOTAL(109,school200405[Less: 
Recovered 
Amount])</f>
        <v>3709101</v>
      </c>
      <c r="K754" s="117">
        <f>SUBTOTAL(109,school200405[Accounts Receivable
Balance])</f>
        <v>2393198</v>
      </c>
      <c r="L754" s="117">
        <f>SUBTOTAL(109,school200405[Net
Balance])</f>
        <v>21736612</v>
      </c>
    </row>
    <row r="755" spans="1:12" x14ac:dyDescent="0.2">
      <c r="A755" s="169" t="s">
        <v>463</v>
      </c>
      <c r="B755" s="198"/>
      <c r="C755" s="37"/>
      <c r="D755" s="103"/>
      <c r="E755" s="122"/>
      <c r="F755" s="122"/>
      <c r="G755" s="122"/>
      <c r="H755" s="122"/>
      <c r="I755" s="122"/>
      <c r="J755" s="122"/>
      <c r="K755" s="122"/>
      <c r="L755" s="122"/>
    </row>
    <row r="756" spans="1:12" ht="50.1" customHeight="1" x14ac:dyDescent="0.2">
      <c r="A756" s="40" t="s">
        <v>1</v>
      </c>
      <c r="B756" s="40" t="s">
        <v>15</v>
      </c>
      <c r="C756" s="40" t="s">
        <v>16</v>
      </c>
      <c r="D756" s="40" t="s">
        <v>454</v>
      </c>
      <c r="E756" s="230" t="s">
        <v>3</v>
      </c>
      <c r="F756" s="231" t="s">
        <v>592</v>
      </c>
      <c r="G756" s="232" t="s">
        <v>462</v>
      </c>
      <c r="H756" s="230" t="s">
        <v>461</v>
      </c>
      <c r="I756" s="197" t="s">
        <v>460</v>
      </c>
      <c r="J756" s="230" t="s">
        <v>459</v>
      </c>
      <c r="K756" s="230" t="s">
        <v>458</v>
      </c>
      <c r="L756" s="230" t="s">
        <v>17</v>
      </c>
    </row>
    <row r="757" spans="1:12" s="229" customFormat="1" ht="30" customHeight="1" x14ac:dyDescent="0.2">
      <c r="A757" s="103" t="s">
        <v>139</v>
      </c>
      <c r="B757" s="198" t="s">
        <v>300</v>
      </c>
      <c r="C757" s="37" t="s">
        <v>296</v>
      </c>
      <c r="D757" s="103">
        <v>348</v>
      </c>
      <c r="E757" s="122">
        <v>43152140</v>
      </c>
      <c r="F757" s="122">
        <v>38771342</v>
      </c>
      <c r="G757" s="227" t="s">
        <v>457</v>
      </c>
      <c r="H757" s="122">
        <v>4380798</v>
      </c>
      <c r="I757" s="199">
        <v>0</v>
      </c>
      <c r="J757" s="199">
        <v>0</v>
      </c>
      <c r="K757" s="199">
        <v>0</v>
      </c>
      <c r="L757" s="122">
        <v>4380798</v>
      </c>
    </row>
    <row r="758" spans="1:12" ht="30" customHeight="1" x14ac:dyDescent="0.2">
      <c r="A758" s="103" t="s">
        <v>139</v>
      </c>
      <c r="B758" s="198" t="s">
        <v>195</v>
      </c>
      <c r="C758" s="37" t="s">
        <v>196</v>
      </c>
      <c r="D758" s="103">
        <v>11</v>
      </c>
      <c r="E758" s="122">
        <v>28107019</v>
      </c>
      <c r="F758" s="122">
        <v>28107019</v>
      </c>
      <c r="G758" s="227" t="s">
        <v>457</v>
      </c>
      <c r="H758" s="199">
        <v>0</v>
      </c>
      <c r="I758" s="122">
        <v>517475</v>
      </c>
      <c r="J758" s="122">
        <v>433247</v>
      </c>
      <c r="K758" s="122">
        <v>84228</v>
      </c>
      <c r="L758" s="122">
        <v>-84228</v>
      </c>
    </row>
    <row r="759" spans="1:12" ht="30" customHeight="1" x14ac:dyDescent="0.2">
      <c r="A759" s="103" t="s">
        <v>139</v>
      </c>
      <c r="B759" s="198" t="s">
        <v>319</v>
      </c>
      <c r="C759" s="37" t="s">
        <v>320</v>
      </c>
      <c r="D759" s="103">
        <v>291</v>
      </c>
      <c r="E759" s="122">
        <v>176468</v>
      </c>
      <c r="F759" s="122">
        <v>170016</v>
      </c>
      <c r="G759" s="227" t="s">
        <v>457</v>
      </c>
      <c r="H759" s="122">
        <v>6452</v>
      </c>
      <c r="I759" s="199">
        <v>0</v>
      </c>
      <c r="J759" s="199">
        <v>0</v>
      </c>
      <c r="K759" s="199">
        <v>0</v>
      </c>
      <c r="L759" s="122">
        <v>6452</v>
      </c>
    </row>
    <row r="760" spans="1:12" ht="15" customHeight="1" x14ac:dyDescent="0.2">
      <c r="A760" s="103" t="s">
        <v>139</v>
      </c>
      <c r="B760" s="198" t="s">
        <v>344</v>
      </c>
      <c r="C760" s="37" t="s">
        <v>239</v>
      </c>
      <c r="D760" s="103">
        <v>295</v>
      </c>
      <c r="E760" s="122">
        <v>169671206</v>
      </c>
      <c r="F760" s="122">
        <v>160619456</v>
      </c>
      <c r="G760" s="227" t="s">
        <v>457</v>
      </c>
      <c r="H760" s="122">
        <v>9051750</v>
      </c>
      <c r="I760" s="199">
        <v>0</v>
      </c>
      <c r="J760" s="199">
        <v>0</v>
      </c>
      <c r="K760" s="199">
        <v>0</v>
      </c>
      <c r="L760" s="122">
        <v>9051750</v>
      </c>
    </row>
    <row r="761" spans="1:12" ht="15" customHeight="1" x14ac:dyDescent="0.2">
      <c r="A761" s="103" t="s">
        <v>139</v>
      </c>
      <c r="B761" s="198" t="s">
        <v>240</v>
      </c>
      <c r="C761" s="37" t="s">
        <v>241</v>
      </c>
      <c r="D761" s="103">
        <v>166</v>
      </c>
      <c r="E761" s="122">
        <v>8305244</v>
      </c>
      <c r="F761" s="122">
        <v>8305244</v>
      </c>
      <c r="G761" s="227" t="s">
        <v>457</v>
      </c>
      <c r="H761" s="199">
        <v>0</v>
      </c>
      <c r="I761" s="122">
        <v>43849</v>
      </c>
      <c r="J761" s="122">
        <v>12058</v>
      </c>
      <c r="K761" s="122">
        <v>31791</v>
      </c>
      <c r="L761" s="122">
        <v>-31791</v>
      </c>
    </row>
    <row r="762" spans="1:12" ht="15" customHeight="1" x14ac:dyDescent="0.2">
      <c r="A762" s="103" t="s">
        <v>139</v>
      </c>
      <c r="B762" s="198" t="s">
        <v>282</v>
      </c>
      <c r="C762" s="37" t="s">
        <v>283</v>
      </c>
      <c r="D762" s="103">
        <v>268</v>
      </c>
      <c r="E762" s="122">
        <v>3060717</v>
      </c>
      <c r="F762" s="122">
        <v>3007132</v>
      </c>
      <c r="G762" s="227" t="s">
        <v>457</v>
      </c>
      <c r="H762" s="122">
        <v>53585</v>
      </c>
      <c r="I762" s="199">
        <v>0</v>
      </c>
      <c r="J762" s="199">
        <v>0</v>
      </c>
      <c r="K762" s="199">
        <v>0</v>
      </c>
      <c r="L762" s="122">
        <v>53585</v>
      </c>
    </row>
    <row r="763" spans="1:12" ht="15" customHeight="1" x14ac:dyDescent="0.2">
      <c r="A763" s="103" t="s">
        <v>139</v>
      </c>
      <c r="B763" s="198" t="s">
        <v>250</v>
      </c>
      <c r="C763" s="37" t="s">
        <v>239</v>
      </c>
      <c r="D763" s="103">
        <v>48</v>
      </c>
      <c r="E763" s="122">
        <v>8765818</v>
      </c>
      <c r="F763" s="122">
        <v>8765818</v>
      </c>
      <c r="G763" s="227" t="s">
        <v>457</v>
      </c>
      <c r="H763" s="199">
        <v>0</v>
      </c>
      <c r="I763" s="122">
        <v>1253345</v>
      </c>
      <c r="J763" s="122">
        <v>405483</v>
      </c>
      <c r="K763" s="122">
        <v>847862</v>
      </c>
      <c r="L763" s="122">
        <v>-847862</v>
      </c>
    </row>
    <row r="764" spans="1:12" ht="15" customHeight="1" x14ac:dyDescent="0.2">
      <c r="A764" s="103" t="s">
        <v>139</v>
      </c>
      <c r="B764" s="198" t="s">
        <v>71</v>
      </c>
      <c r="C764" s="37" t="s">
        <v>72</v>
      </c>
      <c r="D764" s="103">
        <v>218</v>
      </c>
      <c r="E764" s="122">
        <v>6179610</v>
      </c>
      <c r="F764" s="122">
        <v>6014690</v>
      </c>
      <c r="G764" s="227" t="s">
        <v>457</v>
      </c>
      <c r="H764" s="122">
        <v>164920</v>
      </c>
      <c r="I764" s="199">
        <v>0</v>
      </c>
      <c r="J764" s="199">
        <v>0</v>
      </c>
      <c r="K764" s="199">
        <v>0</v>
      </c>
      <c r="L764" s="122">
        <v>164920</v>
      </c>
    </row>
    <row r="765" spans="1:12" ht="30" customHeight="1" x14ac:dyDescent="0.2">
      <c r="A765" s="103" t="s">
        <v>139</v>
      </c>
      <c r="B765" s="198" t="s">
        <v>333</v>
      </c>
      <c r="C765" s="37" t="s">
        <v>226</v>
      </c>
      <c r="D765" s="103">
        <v>271</v>
      </c>
      <c r="E765" s="122">
        <v>3544682</v>
      </c>
      <c r="F765" s="122">
        <v>3484857</v>
      </c>
      <c r="G765" s="227" t="s">
        <v>457</v>
      </c>
      <c r="H765" s="122">
        <v>59825</v>
      </c>
      <c r="I765" s="199">
        <v>0</v>
      </c>
      <c r="J765" s="199">
        <v>0</v>
      </c>
      <c r="K765" s="199">
        <v>0</v>
      </c>
      <c r="L765" s="122">
        <v>59825</v>
      </c>
    </row>
    <row r="766" spans="1:12" ht="45" customHeight="1" x14ac:dyDescent="0.2">
      <c r="A766" s="103" t="s">
        <v>139</v>
      </c>
      <c r="B766" s="198" t="s">
        <v>303</v>
      </c>
      <c r="C766" s="37" t="s">
        <v>304</v>
      </c>
      <c r="D766" s="103">
        <v>329</v>
      </c>
      <c r="E766" s="122">
        <v>862300</v>
      </c>
      <c r="F766" s="122">
        <v>782015</v>
      </c>
      <c r="G766" s="227" t="s">
        <v>457</v>
      </c>
      <c r="H766" s="122">
        <v>80285</v>
      </c>
      <c r="I766" s="199">
        <v>0</v>
      </c>
      <c r="J766" s="199">
        <v>0</v>
      </c>
      <c r="K766" s="199">
        <v>0</v>
      </c>
      <c r="L766" s="122">
        <v>80285</v>
      </c>
    </row>
    <row r="767" spans="1:12" ht="15" customHeight="1" x14ac:dyDescent="0.2">
      <c r="A767" s="103" t="s">
        <v>139</v>
      </c>
      <c r="B767" s="198" t="s">
        <v>342</v>
      </c>
      <c r="C767" s="37" t="s">
        <v>276</v>
      </c>
      <c r="D767" s="103">
        <v>139</v>
      </c>
      <c r="E767" s="122">
        <v>3233418</v>
      </c>
      <c r="F767" s="122">
        <v>3233418</v>
      </c>
      <c r="G767" s="227" t="s">
        <v>457</v>
      </c>
      <c r="H767" s="199">
        <v>0</v>
      </c>
      <c r="I767" s="122">
        <v>966463</v>
      </c>
      <c r="J767" s="199">
        <v>0</v>
      </c>
      <c r="K767" s="122">
        <v>966463</v>
      </c>
      <c r="L767" s="122">
        <v>-966463</v>
      </c>
    </row>
    <row r="768" spans="1:12" ht="15" customHeight="1" x14ac:dyDescent="0.2">
      <c r="A768" s="103" t="s">
        <v>139</v>
      </c>
      <c r="B768" s="198" t="s">
        <v>286</v>
      </c>
      <c r="C768" s="37" t="s">
        <v>239</v>
      </c>
      <c r="D768" s="103">
        <v>280</v>
      </c>
      <c r="E768" s="122">
        <v>6634</v>
      </c>
      <c r="F768" s="122">
        <v>5624</v>
      </c>
      <c r="G768" s="227" t="s">
        <v>457</v>
      </c>
      <c r="H768" s="122">
        <v>1010</v>
      </c>
      <c r="I768" s="199">
        <v>0</v>
      </c>
      <c r="J768" s="199">
        <v>0</v>
      </c>
      <c r="K768" s="199">
        <v>0</v>
      </c>
      <c r="L768" s="122">
        <v>1010</v>
      </c>
    </row>
    <row r="769" spans="1:12" ht="15" customHeight="1" x14ac:dyDescent="0.2">
      <c r="A769" s="103" t="s">
        <v>139</v>
      </c>
      <c r="B769" s="198" t="s">
        <v>310</v>
      </c>
      <c r="C769" s="37" t="s">
        <v>311</v>
      </c>
      <c r="D769" s="103">
        <v>57</v>
      </c>
      <c r="E769" s="122">
        <v>1112874</v>
      </c>
      <c r="F769" s="122">
        <v>1107374</v>
      </c>
      <c r="G769" s="227" t="s">
        <v>457</v>
      </c>
      <c r="H769" s="122">
        <v>5500</v>
      </c>
      <c r="I769" s="199">
        <v>0</v>
      </c>
      <c r="J769" s="199">
        <v>0</v>
      </c>
      <c r="K769" s="199">
        <v>0</v>
      </c>
      <c r="L769" s="122">
        <v>5500</v>
      </c>
    </row>
    <row r="770" spans="1:12" ht="15" customHeight="1" x14ac:dyDescent="0.2">
      <c r="A770" s="103" t="s">
        <v>139</v>
      </c>
      <c r="B770" s="198" t="s">
        <v>345</v>
      </c>
      <c r="C770" s="37" t="s">
        <v>318</v>
      </c>
      <c r="D770" s="103">
        <v>208</v>
      </c>
      <c r="E770" s="122">
        <v>17151246</v>
      </c>
      <c r="F770" s="122">
        <v>16798479</v>
      </c>
      <c r="G770" s="227" t="s">
        <v>457</v>
      </c>
      <c r="H770" s="122">
        <v>352767</v>
      </c>
      <c r="I770" s="122">
        <v>25091</v>
      </c>
      <c r="J770" s="122">
        <v>25091</v>
      </c>
      <c r="K770" s="199">
        <v>0</v>
      </c>
      <c r="L770" s="122">
        <v>352767</v>
      </c>
    </row>
    <row r="771" spans="1:12" ht="15" customHeight="1" x14ac:dyDescent="0.2">
      <c r="A771" s="103" t="s">
        <v>139</v>
      </c>
      <c r="B771" s="198" t="s">
        <v>289</v>
      </c>
      <c r="C771" s="37" t="s">
        <v>290</v>
      </c>
      <c r="D771" s="103">
        <v>308</v>
      </c>
      <c r="E771" s="122">
        <v>53294</v>
      </c>
      <c r="F771" s="122">
        <v>46597</v>
      </c>
      <c r="G771" s="227" t="s">
        <v>457</v>
      </c>
      <c r="H771" s="122">
        <v>6697</v>
      </c>
      <c r="I771" s="199">
        <v>0</v>
      </c>
      <c r="J771" s="199">
        <v>0</v>
      </c>
      <c r="K771" s="199">
        <v>0</v>
      </c>
      <c r="L771" s="122">
        <v>6697</v>
      </c>
    </row>
    <row r="772" spans="1:12" ht="15" customHeight="1" x14ac:dyDescent="0.2">
      <c r="A772" s="103" t="s">
        <v>139</v>
      </c>
      <c r="B772" s="198" t="s">
        <v>257</v>
      </c>
      <c r="C772" s="37" t="s">
        <v>239</v>
      </c>
      <c r="D772" s="103">
        <v>260</v>
      </c>
      <c r="E772" s="122">
        <v>14398943</v>
      </c>
      <c r="F772" s="122">
        <v>14149465</v>
      </c>
      <c r="G772" s="227" t="s">
        <v>457</v>
      </c>
      <c r="H772" s="122">
        <v>249478</v>
      </c>
      <c r="I772" s="122">
        <v>744918</v>
      </c>
      <c r="J772" s="122">
        <v>744918</v>
      </c>
      <c r="K772" s="199">
        <v>0</v>
      </c>
      <c r="L772" s="122">
        <v>249478</v>
      </c>
    </row>
    <row r="773" spans="1:12" s="229" customFormat="1" ht="15" customHeight="1" x14ac:dyDescent="0.2">
      <c r="A773" s="206" t="s">
        <v>390</v>
      </c>
      <c r="B773" s="228" t="s">
        <v>457</v>
      </c>
      <c r="C773" s="228" t="s">
        <v>457</v>
      </c>
      <c r="D773" s="228" t="s">
        <v>457</v>
      </c>
      <c r="E773" s="117">
        <f>SUBTOTAL(109,school200304[Program
Costs])</f>
        <v>307781613</v>
      </c>
      <c r="F773" s="117">
        <f>SUBTOTAL(109,school200304[Less: Net
 Payments and 
Offsets 2])</f>
        <v>293368546</v>
      </c>
      <c r="G773" s="228" t="s">
        <v>457</v>
      </c>
      <c r="H773" s="117">
        <f>SUBTOTAL(109,school200304[Accounts Payable
Balance])</f>
        <v>14413067</v>
      </c>
      <c r="I773" s="117">
        <f>SUBTOTAL(109,school200304[Established
Accounts Receivable])</f>
        <v>3551141</v>
      </c>
      <c r="J773" s="117">
        <f>SUBTOTAL(109,school200304[Less: 
Recovered 
Amount])</f>
        <v>1620797</v>
      </c>
      <c r="K773" s="117">
        <f>SUBTOTAL(109,school200304[Accounts Receivable
Balance])</f>
        <v>1930344</v>
      </c>
      <c r="L773" s="117">
        <f>SUBTOTAL(109,school200304[Net
Balance])</f>
        <v>12482723</v>
      </c>
    </row>
    <row r="774" spans="1:12" x14ac:dyDescent="0.2">
      <c r="A774" s="169" t="s">
        <v>463</v>
      </c>
      <c r="B774" s="198"/>
      <c r="C774" s="37"/>
      <c r="D774" s="103"/>
      <c r="E774" s="122"/>
      <c r="F774" s="122"/>
      <c r="G774" s="122"/>
      <c r="H774" s="122"/>
      <c r="I774" s="122"/>
      <c r="J774" s="122"/>
      <c r="K774" s="122"/>
      <c r="L774" s="122"/>
    </row>
    <row r="775" spans="1:12" ht="50.1" customHeight="1" x14ac:dyDescent="0.2">
      <c r="A775" s="40" t="s">
        <v>1</v>
      </c>
      <c r="B775" s="40" t="s">
        <v>15</v>
      </c>
      <c r="C775" s="40" t="s">
        <v>16</v>
      </c>
      <c r="D775" s="40" t="s">
        <v>454</v>
      </c>
      <c r="E775" s="230" t="s">
        <v>3</v>
      </c>
      <c r="F775" s="231" t="s">
        <v>592</v>
      </c>
      <c r="G775" s="232" t="s">
        <v>462</v>
      </c>
      <c r="H775" s="230" t="s">
        <v>461</v>
      </c>
      <c r="I775" s="197" t="s">
        <v>460</v>
      </c>
      <c r="J775" s="230" t="s">
        <v>459</v>
      </c>
      <c r="K775" s="230" t="s">
        <v>458</v>
      </c>
      <c r="L775" s="230" t="s">
        <v>17</v>
      </c>
    </row>
    <row r="776" spans="1:12" ht="30" customHeight="1" x14ac:dyDescent="0.2">
      <c r="A776" s="103" t="s">
        <v>140</v>
      </c>
      <c r="B776" s="198" t="s">
        <v>300</v>
      </c>
      <c r="C776" s="37" t="s">
        <v>296</v>
      </c>
      <c r="D776" s="103">
        <v>348</v>
      </c>
      <c r="E776" s="122">
        <v>41363154</v>
      </c>
      <c r="F776" s="122">
        <v>37738313</v>
      </c>
      <c r="G776" s="227" t="s">
        <v>457</v>
      </c>
      <c r="H776" s="122">
        <v>3624841</v>
      </c>
      <c r="I776" s="199">
        <v>0</v>
      </c>
      <c r="J776" s="199">
        <v>0</v>
      </c>
      <c r="K776" s="199">
        <v>0</v>
      </c>
      <c r="L776" s="122">
        <v>3624841</v>
      </c>
    </row>
    <row r="777" spans="1:12" ht="30" customHeight="1" x14ac:dyDescent="0.2">
      <c r="A777" s="103" t="s">
        <v>140</v>
      </c>
      <c r="B777" s="198" t="s">
        <v>195</v>
      </c>
      <c r="C777" s="37" t="s">
        <v>196</v>
      </c>
      <c r="D777" s="103">
        <v>11</v>
      </c>
      <c r="E777" s="122">
        <v>30770605</v>
      </c>
      <c r="F777" s="122">
        <v>30770605</v>
      </c>
      <c r="G777" s="227" t="s">
        <v>457</v>
      </c>
      <c r="H777" s="199">
        <v>0</v>
      </c>
      <c r="I777" s="122">
        <v>867444</v>
      </c>
      <c r="J777" s="122">
        <v>826768</v>
      </c>
      <c r="K777" s="122">
        <v>40676</v>
      </c>
      <c r="L777" s="122">
        <v>-40676</v>
      </c>
    </row>
    <row r="778" spans="1:12" ht="15" customHeight="1" x14ac:dyDescent="0.2">
      <c r="A778" s="103" t="s">
        <v>140</v>
      </c>
      <c r="B778" s="198" t="s">
        <v>344</v>
      </c>
      <c r="C778" s="37" t="s">
        <v>239</v>
      </c>
      <c r="D778" s="103">
        <v>295</v>
      </c>
      <c r="E778" s="122">
        <v>176566893</v>
      </c>
      <c r="F778" s="122">
        <v>172277694</v>
      </c>
      <c r="G778" s="227" t="s">
        <v>457</v>
      </c>
      <c r="H778" s="122">
        <v>4289199</v>
      </c>
      <c r="I778" s="199">
        <v>0</v>
      </c>
      <c r="J778" s="199">
        <v>0</v>
      </c>
      <c r="K778" s="199">
        <v>0</v>
      </c>
      <c r="L778" s="122">
        <v>4289199</v>
      </c>
    </row>
    <row r="779" spans="1:12" ht="15" customHeight="1" x14ac:dyDescent="0.2">
      <c r="A779" s="103" t="s">
        <v>140</v>
      </c>
      <c r="B779" s="198" t="s">
        <v>240</v>
      </c>
      <c r="C779" s="37" t="s">
        <v>241</v>
      </c>
      <c r="D779" s="103">
        <v>166</v>
      </c>
      <c r="E779" s="122">
        <v>7157889</v>
      </c>
      <c r="F779" s="122">
        <v>7157889</v>
      </c>
      <c r="G779" s="227" t="s">
        <v>457</v>
      </c>
      <c r="H779" s="199">
        <v>0</v>
      </c>
      <c r="I779" s="122">
        <v>210086</v>
      </c>
      <c r="J779" s="122">
        <v>139673</v>
      </c>
      <c r="K779" s="122">
        <v>70413</v>
      </c>
      <c r="L779" s="122">
        <v>-70413</v>
      </c>
    </row>
    <row r="780" spans="1:12" ht="15" customHeight="1" x14ac:dyDescent="0.2">
      <c r="A780" s="103" t="s">
        <v>140</v>
      </c>
      <c r="B780" s="198" t="s">
        <v>282</v>
      </c>
      <c r="C780" s="37" t="s">
        <v>283</v>
      </c>
      <c r="D780" s="103">
        <v>268</v>
      </c>
      <c r="E780" s="122">
        <v>2984780</v>
      </c>
      <c r="F780" s="122">
        <v>2976037</v>
      </c>
      <c r="G780" s="227" t="s">
        <v>457</v>
      </c>
      <c r="H780" s="122">
        <v>8743</v>
      </c>
      <c r="I780" s="199">
        <v>0</v>
      </c>
      <c r="J780" s="199">
        <v>0</v>
      </c>
      <c r="K780" s="199">
        <v>0</v>
      </c>
      <c r="L780" s="122">
        <v>8743</v>
      </c>
    </row>
    <row r="781" spans="1:12" ht="15" customHeight="1" x14ac:dyDescent="0.2">
      <c r="A781" s="103" t="s">
        <v>140</v>
      </c>
      <c r="B781" s="198" t="s">
        <v>250</v>
      </c>
      <c r="C781" s="37" t="s">
        <v>239</v>
      </c>
      <c r="D781" s="103">
        <v>48</v>
      </c>
      <c r="E781" s="122">
        <v>7488914</v>
      </c>
      <c r="F781" s="122">
        <v>7488914</v>
      </c>
      <c r="G781" s="227" t="s">
        <v>457</v>
      </c>
      <c r="H781" s="199">
        <v>0</v>
      </c>
      <c r="I781" s="122">
        <v>895210</v>
      </c>
      <c r="J781" s="122">
        <v>357099</v>
      </c>
      <c r="K781" s="122">
        <v>538111</v>
      </c>
      <c r="L781" s="122">
        <v>-538111</v>
      </c>
    </row>
    <row r="782" spans="1:12" ht="15" customHeight="1" x14ac:dyDescent="0.2">
      <c r="A782" s="103" t="s">
        <v>140</v>
      </c>
      <c r="B782" s="198" t="s">
        <v>71</v>
      </c>
      <c r="C782" s="37" t="s">
        <v>72</v>
      </c>
      <c r="D782" s="103">
        <v>218</v>
      </c>
      <c r="E782" s="122">
        <v>7119369</v>
      </c>
      <c r="F782" s="122">
        <v>7041267</v>
      </c>
      <c r="G782" s="227" t="s">
        <v>457</v>
      </c>
      <c r="H782" s="122">
        <v>78102</v>
      </c>
      <c r="I782" s="199">
        <v>0</v>
      </c>
      <c r="J782" s="199">
        <v>0</v>
      </c>
      <c r="K782" s="199">
        <v>0</v>
      </c>
      <c r="L782" s="122">
        <v>78102</v>
      </c>
    </row>
    <row r="783" spans="1:12" ht="30" customHeight="1" x14ac:dyDescent="0.2">
      <c r="A783" s="103" t="s">
        <v>140</v>
      </c>
      <c r="B783" s="198" t="s">
        <v>333</v>
      </c>
      <c r="C783" s="37" t="s">
        <v>226</v>
      </c>
      <c r="D783" s="103">
        <v>271</v>
      </c>
      <c r="E783" s="122">
        <v>2711305</v>
      </c>
      <c r="F783" s="122">
        <v>2687237</v>
      </c>
      <c r="G783" s="227" t="s">
        <v>457</v>
      </c>
      <c r="H783" s="122">
        <v>24068</v>
      </c>
      <c r="I783" s="199">
        <v>0</v>
      </c>
      <c r="J783" s="199">
        <v>0</v>
      </c>
      <c r="K783" s="199">
        <v>0</v>
      </c>
      <c r="L783" s="122">
        <v>24068</v>
      </c>
    </row>
    <row r="784" spans="1:12" ht="45" x14ac:dyDescent="0.2">
      <c r="A784" s="103" t="s">
        <v>140</v>
      </c>
      <c r="B784" s="198" t="s">
        <v>303</v>
      </c>
      <c r="C784" s="37" t="s">
        <v>304</v>
      </c>
      <c r="D784" s="103">
        <v>329</v>
      </c>
      <c r="E784" s="122">
        <v>722675</v>
      </c>
      <c r="F784" s="122">
        <v>710144</v>
      </c>
      <c r="G784" s="227" t="s">
        <v>457</v>
      </c>
      <c r="H784" s="122">
        <v>12531</v>
      </c>
      <c r="I784" s="199">
        <v>0</v>
      </c>
      <c r="J784" s="199">
        <v>0</v>
      </c>
      <c r="K784" s="199">
        <v>0</v>
      </c>
      <c r="L784" s="122">
        <v>12531</v>
      </c>
    </row>
    <row r="785" spans="1:12" ht="15" customHeight="1" x14ac:dyDescent="0.2">
      <c r="A785" s="103" t="s">
        <v>140</v>
      </c>
      <c r="B785" s="198" t="s">
        <v>342</v>
      </c>
      <c r="C785" s="37" t="s">
        <v>276</v>
      </c>
      <c r="D785" s="103">
        <v>139</v>
      </c>
      <c r="E785" s="122">
        <v>3491968</v>
      </c>
      <c r="F785" s="122">
        <v>3491968</v>
      </c>
      <c r="G785" s="227" t="s">
        <v>457</v>
      </c>
      <c r="H785" s="199">
        <v>0</v>
      </c>
      <c r="I785" s="122">
        <v>2397890</v>
      </c>
      <c r="J785" s="199">
        <v>0</v>
      </c>
      <c r="K785" s="122">
        <v>2397890</v>
      </c>
      <c r="L785" s="122">
        <v>-2397890</v>
      </c>
    </row>
    <row r="786" spans="1:12" ht="15" customHeight="1" x14ac:dyDescent="0.2">
      <c r="A786" s="103" t="s">
        <v>140</v>
      </c>
      <c r="B786" s="198" t="s">
        <v>270</v>
      </c>
      <c r="C786" s="37" t="s">
        <v>256</v>
      </c>
      <c r="D786" s="103">
        <v>244</v>
      </c>
      <c r="E786" s="122">
        <v>1943938</v>
      </c>
      <c r="F786" s="122">
        <v>1943938</v>
      </c>
      <c r="G786" s="227" t="s">
        <v>457</v>
      </c>
      <c r="H786" s="199">
        <v>0</v>
      </c>
      <c r="I786" s="122">
        <v>25317281</v>
      </c>
      <c r="J786" s="122">
        <v>2721523</v>
      </c>
      <c r="K786" s="122">
        <v>22595758</v>
      </c>
      <c r="L786" s="122">
        <v>-22595758</v>
      </c>
    </row>
    <row r="787" spans="1:12" ht="15" customHeight="1" x14ac:dyDescent="0.2">
      <c r="A787" s="103" t="s">
        <v>140</v>
      </c>
      <c r="B787" s="198" t="s">
        <v>310</v>
      </c>
      <c r="C787" s="37" t="s">
        <v>311</v>
      </c>
      <c r="D787" s="103">
        <v>57</v>
      </c>
      <c r="E787" s="122">
        <v>1434260</v>
      </c>
      <c r="F787" s="122">
        <v>1415123</v>
      </c>
      <c r="G787" s="227" t="s">
        <v>457</v>
      </c>
      <c r="H787" s="122">
        <v>19137</v>
      </c>
      <c r="I787" s="199">
        <v>0</v>
      </c>
      <c r="J787" s="199">
        <v>0</v>
      </c>
      <c r="K787" s="199">
        <v>0</v>
      </c>
      <c r="L787" s="122">
        <v>19137</v>
      </c>
    </row>
    <row r="788" spans="1:12" ht="15" customHeight="1" x14ac:dyDescent="0.2">
      <c r="A788" s="103" t="s">
        <v>140</v>
      </c>
      <c r="B788" s="198" t="s">
        <v>345</v>
      </c>
      <c r="C788" s="37" t="s">
        <v>318</v>
      </c>
      <c r="D788" s="103">
        <v>208</v>
      </c>
      <c r="E788" s="122">
        <v>23725715</v>
      </c>
      <c r="F788" s="122">
        <v>23579326</v>
      </c>
      <c r="G788" s="227" t="s">
        <v>457</v>
      </c>
      <c r="H788" s="122">
        <v>146389</v>
      </c>
      <c r="I788" s="122">
        <v>183082</v>
      </c>
      <c r="J788" s="122">
        <v>183082</v>
      </c>
      <c r="K788" s="199">
        <v>0</v>
      </c>
      <c r="L788" s="122">
        <v>146389</v>
      </c>
    </row>
    <row r="789" spans="1:12" ht="15" customHeight="1" x14ac:dyDescent="0.2">
      <c r="A789" s="103" t="s">
        <v>140</v>
      </c>
      <c r="B789" s="198" t="s">
        <v>257</v>
      </c>
      <c r="C789" s="37" t="s">
        <v>239</v>
      </c>
      <c r="D789" s="103">
        <v>260</v>
      </c>
      <c r="E789" s="122">
        <v>13819545</v>
      </c>
      <c r="F789" s="122">
        <v>13759745</v>
      </c>
      <c r="G789" s="227" t="s">
        <v>457</v>
      </c>
      <c r="H789" s="122">
        <v>59800</v>
      </c>
      <c r="I789" s="122">
        <v>334584</v>
      </c>
      <c r="J789" s="122">
        <v>334584</v>
      </c>
      <c r="K789" s="199">
        <v>0</v>
      </c>
      <c r="L789" s="122">
        <v>59800</v>
      </c>
    </row>
    <row r="790" spans="1:12" ht="15" customHeight="1" x14ac:dyDescent="0.2">
      <c r="A790" s="206" t="s">
        <v>391</v>
      </c>
      <c r="B790" s="228" t="s">
        <v>457</v>
      </c>
      <c r="C790" s="228" t="s">
        <v>457</v>
      </c>
      <c r="D790" s="228" t="s">
        <v>457</v>
      </c>
      <c r="E790" s="117">
        <f>SUBTOTAL(109,school200203[Program
Costs])</f>
        <v>321301010</v>
      </c>
      <c r="F790" s="117">
        <f>SUBTOTAL(109,school200203[Less: Net
 Payments and 
Offsets 2])</f>
        <v>313038200</v>
      </c>
      <c r="G790" s="228" t="s">
        <v>457</v>
      </c>
      <c r="H790" s="117">
        <f>SUBTOTAL(109,school200203[Accounts Payable
Balance])</f>
        <v>8262810</v>
      </c>
      <c r="I790" s="117">
        <f>SUBTOTAL(109,school200203[Established
Accounts Receivable])</f>
        <v>30205577</v>
      </c>
      <c r="J790" s="117">
        <f>SUBTOTAL(109,school200203[Less: 
Recovered 
Amount])</f>
        <v>4562729</v>
      </c>
      <c r="K790" s="117">
        <f>SUBTOTAL(109,school200203[Accounts Receivable
Balance])</f>
        <v>25642848</v>
      </c>
      <c r="L790" s="117">
        <f>SUBTOTAL(109,school200203[Net
Balance])</f>
        <v>-17380038</v>
      </c>
    </row>
    <row r="791" spans="1:12" ht="15.75" customHeight="1" x14ac:dyDescent="0.2">
      <c r="A791" s="169" t="s">
        <v>463</v>
      </c>
      <c r="B791" s="198"/>
      <c r="C791" s="37"/>
      <c r="D791" s="103"/>
      <c r="E791" s="122"/>
      <c r="F791" s="122"/>
      <c r="G791" s="122"/>
      <c r="H791" s="122"/>
      <c r="I791" s="122"/>
      <c r="J791" s="122"/>
      <c r="K791" s="122"/>
      <c r="L791" s="122"/>
    </row>
    <row r="792" spans="1:12" ht="50.1" customHeight="1" x14ac:dyDescent="0.2">
      <c r="A792" s="40" t="s">
        <v>1</v>
      </c>
      <c r="B792" s="40" t="s">
        <v>15</v>
      </c>
      <c r="C792" s="40" t="s">
        <v>16</v>
      </c>
      <c r="D792" s="40" t="s">
        <v>454</v>
      </c>
      <c r="E792" s="230" t="s">
        <v>3</v>
      </c>
      <c r="F792" s="231" t="s">
        <v>592</v>
      </c>
      <c r="G792" s="232" t="s">
        <v>462</v>
      </c>
      <c r="H792" s="230" t="s">
        <v>461</v>
      </c>
      <c r="I792" s="197" t="s">
        <v>460</v>
      </c>
      <c r="J792" s="230" t="s">
        <v>459</v>
      </c>
      <c r="K792" s="230" t="s">
        <v>458</v>
      </c>
      <c r="L792" s="230" t="s">
        <v>17</v>
      </c>
    </row>
    <row r="793" spans="1:12" ht="15" customHeight="1" x14ac:dyDescent="0.2">
      <c r="A793" s="103" t="s">
        <v>141</v>
      </c>
      <c r="B793" s="198" t="s">
        <v>346</v>
      </c>
      <c r="C793" s="37" t="s">
        <v>218</v>
      </c>
      <c r="D793" s="103">
        <v>123</v>
      </c>
      <c r="E793" s="122">
        <v>3563107</v>
      </c>
      <c r="F793" s="122">
        <v>3563107</v>
      </c>
      <c r="G793" s="227" t="s">
        <v>457</v>
      </c>
      <c r="H793" s="199">
        <v>0</v>
      </c>
      <c r="I793" s="122">
        <v>838033</v>
      </c>
      <c r="J793" s="122">
        <v>832320</v>
      </c>
      <c r="K793" s="122">
        <v>5713</v>
      </c>
      <c r="L793" s="122">
        <v>-5713</v>
      </c>
    </row>
    <row r="794" spans="1:12" ht="30" customHeight="1" x14ac:dyDescent="0.2">
      <c r="A794" s="103" t="s">
        <v>141</v>
      </c>
      <c r="B794" s="198" t="s">
        <v>300</v>
      </c>
      <c r="C794" s="37" t="s">
        <v>296</v>
      </c>
      <c r="D794" s="103">
        <v>348</v>
      </c>
      <c r="E794" s="122">
        <v>39009871</v>
      </c>
      <c r="F794" s="122">
        <v>35783447</v>
      </c>
      <c r="G794" s="227" t="s">
        <v>457</v>
      </c>
      <c r="H794" s="122">
        <v>3226424</v>
      </c>
      <c r="I794" s="199">
        <v>0</v>
      </c>
      <c r="J794" s="199">
        <v>0</v>
      </c>
      <c r="K794" s="199">
        <v>0</v>
      </c>
      <c r="L794" s="122">
        <v>3226424</v>
      </c>
    </row>
    <row r="795" spans="1:12" ht="15" customHeight="1" x14ac:dyDescent="0.2">
      <c r="A795" s="103" t="s">
        <v>141</v>
      </c>
      <c r="B795" s="198" t="s">
        <v>347</v>
      </c>
      <c r="C795" s="37" t="s">
        <v>274</v>
      </c>
      <c r="D795" s="103">
        <v>140</v>
      </c>
      <c r="E795" s="122">
        <v>2457131</v>
      </c>
      <c r="F795" s="122">
        <v>2457131</v>
      </c>
      <c r="G795" s="227" t="s">
        <v>457</v>
      </c>
      <c r="H795" s="199">
        <v>0</v>
      </c>
      <c r="I795" s="122">
        <v>237816</v>
      </c>
      <c r="J795" s="122">
        <v>226307</v>
      </c>
      <c r="K795" s="122">
        <v>11509</v>
      </c>
      <c r="L795" s="122">
        <v>-11509</v>
      </c>
    </row>
    <row r="796" spans="1:12" ht="30" customHeight="1" x14ac:dyDescent="0.2">
      <c r="A796" s="103" t="s">
        <v>141</v>
      </c>
      <c r="B796" s="198" t="s">
        <v>195</v>
      </c>
      <c r="C796" s="37" t="s">
        <v>196</v>
      </c>
      <c r="D796" s="103">
        <v>11</v>
      </c>
      <c r="E796" s="122">
        <v>34671017</v>
      </c>
      <c r="F796" s="122">
        <v>34671017</v>
      </c>
      <c r="G796" s="227" t="s">
        <v>457</v>
      </c>
      <c r="H796" s="199">
        <v>0</v>
      </c>
      <c r="I796" s="122">
        <v>7346372</v>
      </c>
      <c r="J796" s="122">
        <v>7327621</v>
      </c>
      <c r="K796" s="122">
        <v>18751</v>
      </c>
      <c r="L796" s="122">
        <v>-18751</v>
      </c>
    </row>
    <row r="797" spans="1:12" ht="15" customHeight="1" x14ac:dyDescent="0.2">
      <c r="A797" s="103" t="s">
        <v>141</v>
      </c>
      <c r="B797" s="198" t="s">
        <v>316</v>
      </c>
      <c r="C797" s="37" t="s">
        <v>224</v>
      </c>
      <c r="D797" s="103">
        <v>223</v>
      </c>
      <c r="E797" s="122">
        <v>5548278</v>
      </c>
      <c r="F797" s="122">
        <v>5548278</v>
      </c>
      <c r="G797" s="227" t="s">
        <v>457</v>
      </c>
      <c r="H797" s="199">
        <v>0</v>
      </c>
      <c r="I797" s="122">
        <v>14656</v>
      </c>
      <c r="J797" s="122">
        <v>9604</v>
      </c>
      <c r="K797" s="122">
        <v>5052</v>
      </c>
      <c r="L797" s="122">
        <v>-5052</v>
      </c>
    </row>
    <row r="798" spans="1:12" ht="15" customHeight="1" x14ac:dyDescent="0.2">
      <c r="A798" s="103" t="s">
        <v>141</v>
      </c>
      <c r="B798" s="198" t="s">
        <v>235</v>
      </c>
      <c r="C798" s="37" t="s">
        <v>236</v>
      </c>
      <c r="D798" s="103">
        <v>183</v>
      </c>
      <c r="E798" s="122">
        <v>3258459</v>
      </c>
      <c r="F798" s="122">
        <v>3258459</v>
      </c>
      <c r="G798" s="227" t="s">
        <v>457</v>
      </c>
      <c r="H798" s="199">
        <v>0</v>
      </c>
      <c r="I798" s="122">
        <v>2332978</v>
      </c>
      <c r="J798" s="122">
        <v>2331773</v>
      </c>
      <c r="K798" s="122">
        <v>1205</v>
      </c>
      <c r="L798" s="122">
        <v>-1205</v>
      </c>
    </row>
    <row r="799" spans="1:12" ht="15" customHeight="1" x14ac:dyDescent="0.2">
      <c r="A799" s="103" t="s">
        <v>141</v>
      </c>
      <c r="B799" s="198" t="s">
        <v>348</v>
      </c>
      <c r="C799" s="37" t="s">
        <v>338</v>
      </c>
      <c r="D799" s="103">
        <v>75</v>
      </c>
      <c r="E799" s="122">
        <v>15879587</v>
      </c>
      <c r="F799" s="122">
        <v>15879587</v>
      </c>
      <c r="G799" s="227" t="s">
        <v>457</v>
      </c>
      <c r="H799" s="199">
        <v>0</v>
      </c>
      <c r="I799" s="122">
        <v>4530020</v>
      </c>
      <c r="J799" s="122">
        <v>4529310</v>
      </c>
      <c r="K799" s="122">
        <v>710</v>
      </c>
      <c r="L799" s="122">
        <v>-710</v>
      </c>
    </row>
    <row r="800" spans="1:12" ht="15" customHeight="1" x14ac:dyDescent="0.2">
      <c r="A800" s="103" t="s">
        <v>141</v>
      </c>
      <c r="B800" s="198" t="s">
        <v>321</v>
      </c>
      <c r="C800" s="37" t="s">
        <v>239</v>
      </c>
      <c r="D800" s="103">
        <v>26</v>
      </c>
      <c r="E800" s="122">
        <v>7958827</v>
      </c>
      <c r="F800" s="122">
        <v>7958827</v>
      </c>
      <c r="G800" s="227" t="s">
        <v>457</v>
      </c>
      <c r="H800" s="199">
        <v>0</v>
      </c>
      <c r="I800" s="122">
        <v>4858960</v>
      </c>
      <c r="J800" s="122">
        <v>4632636</v>
      </c>
      <c r="K800" s="122">
        <v>226324</v>
      </c>
      <c r="L800" s="122">
        <v>-226324</v>
      </c>
    </row>
    <row r="801" spans="1:12" ht="15" customHeight="1" x14ac:dyDescent="0.2">
      <c r="A801" s="103" t="s">
        <v>141</v>
      </c>
      <c r="B801" s="198" t="s">
        <v>344</v>
      </c>
      <c r="C801" s="37" t="s">
        <v>239</v>
      </c>
      <c r="D801" s="103">
        <v>295</v>
      </c>
      <c r="E801" s="122">
        <v>166695626</v>
      </c>
      <c r="F801" s="122">
        <v>165084881</v>
      </c>
      <c r="G801" s="227" t="s">
        <v>457</v>
      </c>
      <c r="H801" s="122">
        <v>1610745</v>
      </c>
      <c r="I801" s="199">
        <v>0</v>
      </c>
      <c r="J801" s="199">
        <v>0</v>
      </c>
      <c r="K801" s="199">
        <v>0</v>
      </c>
      <c r="L801" s="122">
        <v>1610745</v>
      </c>
    </row>
    <row r="802" spans="1:12" ht="15" customHeight="1" x14ac:dyDescent="0.2">
      <c r="A802" s="103" t="s">
        <v>141</v>
      </c>
      <c r="B802" s="198" t="s">
        <v>240</v>
      </c>
      <c r="C802" s="37" t="s">
        <v>241</v>
      </c>
      <c r="D802" s="103">
        <v>166</v>
      </c>
      <c r="E802" s="122">
        <v>7701749</v>
      </c>
      <c r="F802" s="122">
        <v>7701749</v>
      </c>
      <c r="G802" s="227" t="s">
        <v>457</v>
      </c>
      <c r="H802" s="199">
        <v>0</v>
      </c>
      <c r="I802" s="122">
        <v>2062132</v>
      </c>
      <c r="J802" s="122">
        <v>2062074</v>
      </c>
      <c r="K802" s="122">
        <v>58</v>
      </c>
      <c r="L802" s="122">
        <v>-58</v>
      </c>
    </row>
    <row r="803" spans="1:12" ht="15" customHeight="1" x14ac:dyDescent="0.2">
      <c r="A803" s="103" t="s">
        <v>141</v>
      </c>
      <c r="B803" s="198" t="s">
        <v>282</v>
      </c>
      <c r="C803" s="37" t="s">
        <v>283</v>
      </c>
      <c r="D803" s="103">
        <v>268</v>
      </c>
      <c r="E803" s="122">
        <v>2150476</v>
      </c>
      <c r="F803" s="122">
        <v>2145443</v>
      </c>
      <c r="G803" s="227" t="s">
        <v>457</v>
      </c>
      <c r="H803" s="122">
        <v>5033</v>
      </c>
      <c r="I803" s="199">
        <v>0</v>
      </c>
      <c r="J803" s="199">
        <v>0</v>
      </c>
      <c r="K803" s="199">
        <v>0</v>
      </c>
      <c r="L803" s="122">
        <v>5033</v>
      </c>
    </row>
    <row r="804" spans="1:12" ht="15" customHeight="1" x14ac:dyDescent="0.2">
      <c r="A804" s="103" t="s">
        <v>141</v>
      </c>
      <c r="B804" s="198" t="s">
        <v>284</v>
      </c>
      <c r="C804" s="37" t="s">
        <v>285</v>
      </c>
      <c r="D804" s="103">
        <v>148</v>
      </c>
      <c r="E804" s="122">
        <v>1807989</v>
      </c>
      <c r="F804" s="122">
        <v>1807989</v>
      </c>
      <c r="G804" s="227" t="s">
        <v>457</v>
      </c>
      <c r="H804" s="199">
        <v>0</v>
      </c>
      <c r="I804" s="122">
        <v>767144</v>
      </c>
      <c r="J804" s="122">
        <v>766547</v>
      </c>
      <c r="K804" s="122">
        <v>597</v>
      </c>
      <c r="L804" s="122">
        <v>-597</v>
      </c>
    </row>
    <row r="805" spans="1:12" ht="15" customHeight="1" x14ac:dyDescent="0.2">
      <c r="A805" s="103" t="s">
        <v>141</v>
      </c>
      <c r="B805" s="198" t="s">
        <v>248</v>
      </c>
      <c r="C805" s="37" t="s">
        <v>249</v>
      </c>
      <c r="D805" s="103">
        <v>153</v>
      </c>
      <c r="E805" s="122">
        <v>8287926</v>
      </c>
      <c r="F805" s="122">
        <v>8287926</v>
      </c>
      <c r="G805" s="227" t="s">
        <v>457</v>
      </c>
      <c r="H805" s="199">
        <v>0</v>
      </c>
      <c r="I805" s="122">
        <v>1426115</v>
      </c>
      <c r="J805" s="122">
        <v>1425358</v>
      </c>
      <c r="K805" s="122">
        <v>757</v>
      </c>
      <c r="L805" s="122">
        <v>-757</v>
      </c>
    </row>
    <row r="806" spans="1:12" s="229" customFormat="1" ht="15" customHeight="1" x14ac:dyDescent="0.2">
      <c r="A806" s="103" t="s">
        <v>141</v>
      </c>
      <c r="B806" s="198" t="s">
        <v>266</v>
      </c>
      <c r="C806" s="37" t="s">
        <v>267</v>
      </c>
      <c r="D806" s="103">
        <v>155</v>
      </c>
      <c r="E806" s="122">
        <v>798088</v>
      </c>
      <c r="F806" s="122">
        <v>798088</v>
      </c>
      <c r="G806" s="227" t="s">
        <v>457</v>
      </c>
      <c r="H806" s="199">
        <v>0</v>
      </c>
      <c r="I806" s="122">
        <v>72371</v>
      </c>
      <c r="J806" s="122">
        <v>72080</v>
      </c>
      <c r="K806" s="122">
        <v>291</v>
      </c>
      <c r="L806" s="122">
        <v>-291</v>
      </c>
    </row>
    <row r="807" spans="1:12" ht="15" customHeight="1" x14ac:dyDescent="0.2">
      <c r="A807" s="103" t="s">
        <v>141</v>
      </c>
      <c r="B807" s="198" t="s">
        <v>328</v>
      </c>
      <c r="C807" s="37" t="s">
        <v>329</v>
      </c>
      <c r="D807" s="103">
        <v>157</v>
      </c>
      <c r="E807" s="122">
        <v>1579905</v>
      </c>
      <c r="F807" s="122">
        <v>1579905</v>
      </c>
      <c r="G807" s="227" t="s">
        <v>457</v>
      </c>
      <c r="H807" s="199">
        <v>0</v>
      </c>
      <c r="I807" s="122">
        <v>818310</v>
      </c>
      <c r="J807" s="122">
        <v>816980</v>
      </c>
      <c r="K807" s="122">
        <v>1330</v>
      </c>
      <c r="L807" s="122">
        <v>-1330</v>
      </c>
    </row>
    <row r="808" spans="1:12" ht="15" customHeight="1" x14ac:dyDescent="0.2">
      <c r="A808" s="103" t="s">
        <v>141</v>
      </c>
      <c r="B808" s="198" t="s">
        <v>82</v>
      </c>
      <c r="C808" s="37" t="s">
        <v>83</v>
      </c>
      <c r="D808" s="103">
        <v>42</v>
      </c>
      <c r="E808" s="122">
        <v>18517280</v>
      </c>
      <c r="F808" s="122">
        <v>18517280</v>
      </c>
      <c r="G808" s="227" t="s">
        <v>457</v>
      </c>
      <c r="H808" s="199">
        <v>0</v>
      </c>
      <c r="I808" s="122">
        <v>290709</v>
      </c>
      <c r="J808" s="122">
        <v>284043</v>
      </c>
      <c r="K808" s="122">
        <v>6666</v>
      </c>
      <c r="L808" s="122">
        <v>-6666</v>
      </c>
    </row>
    <row r="809" spans="1:12" ht="15" customHeight="1" x14ac:dyDescent="0.2">
      <c r="A809" s="103" t="s">
        <v>141</v>
      </c>
      <c r="B809" s="198" t="s">
        <v>349</v>
      </c>
      <c r="C809" s="37" t="s">
        <v>72</v>
      </c>
      <c r="D809" s="103">
        <v>201</v>
      </c>
      <c r="E809" s="122">
        <v>556</v>
      </c>
      <c r="F809" s="122">
        <v>556</v>
      </c>
      <c r="G809" s="227" t="s">
        <v>457</v>
      </c>
      <c r="H809" s="199">
        <v>0</v>
      </c>
      <c r="I809" s="122">
        <v>63727</v>
      </c>
      <c r="J809" s="122">
        <v>62836</v>
      </c>
      <c r="K809" s="122">
        <v>891</v>
      </c>
      <c r="L809" s="122">
        <v>-891</v>
      </c>
    </row>
    <row r="810" spans="1:12" ht="15" customHeight="1" x14ac:dyDescent="0.2">
      <c r="A810" s="103" t="s">
        <v>141</v>
      </c>
      <c r="B810" s="198" t="s">
        <v>71</v>
      </c>
      <c r="C810" s="37" t="s">
        <v>72</v>
      </c>
      <c r="D810" s="103">
        <v>218</v>
      </c>
      <c r="E810" s="122">
        <v>7304994</v>
      </c>
      <c r="F810" s="122">
        <v>7255320</v>
      </c>
      <c r="G810" s="227" t="s">
        <v>457</v>
      </c>
      <c r="H810" s="122">
        <v>49674</v>
      </c>
      <c r="I810" s="122">
        <v>441775</v>
      </c>
      <c r="J810" s="122">
        <v>437972</v>
      </c>
      <c r="K810" s="122">
        <v>3803</v>
      </c>
      <c r="L810" s="122">
        <v>45871</v>
      </c>
    </row>
    <row r="811" spans="1:12" ht="15" customHeight="1" x14ac:dyDescent="0.2">
      <c r="A811" s="103" t="s">
        <v>141</v>
      </c>
      <c r="B811" s="198" t="s">
        <v>268</v>
      </c>
      <c r="C811" s="37" t="s">
        <v>269</v>
      </c>
      <c r="D811" s="103">
        <v>173</v>
      </c>
      <c r="E811" s="122">
        <v>2301476</v>
      </c>
      <c r="F811" s="122">
        <v>2301476</v>
      </c>
      <c r="G811" s="227" t="s">
        <v>457</v>
      </c>
      <c r="H811" s="199">
        <v>0</v>
      </c>
      <c r="I811" s="122">
        <v>299866</v>
      </c>
      <c r="J811" s="122">
        <v>299485</v>
      </c>
      <c r="K811" s="122">
        <v>381</v>
      </c>
      <c r="L811" s="122">
        <v>-381</v>
      </c>
    </row>
    <row r="812" spans="1:12" ht="15" customHeight="1" x14ac:dyDescent="0.2">
      <c r="A812" s="103" t="s">
        <v>141</v>
      </c>
      <c r="B812" s="198" t="s">
        <v>331</v>
      </c>
      <c r="C812" s="37" t="s">
        <v>332</v>
      </c>
      <c r="D812" s="103">
        <v>151</v>
      </c>
      <c r="E812" s="122">
        <v>2589924</v>
      </c>
      <c r="F812" s="122">
        <v>2589924</v>
      </c>
      <c r="G812" s="227" t="s">
        <v>457</v>
      </c>
      <c r="H812" s="199">
        <v>0</v>
      </c>
      <c r="I812" s="122">
        <v>269837</v>
      </c>
      <c r="J812" s="122">
        <v>268611</v>
      </c>
      <c r="K812" s="122">
        <v>1226</v>
      </c>
      <c r="L812" s="122">
        <v>-1226</v>
      </c>
    </row>
    <row r="813" spans="1:12" ht="30" customHeight="1" x14ac:dyDescent="0.2">
      <c r="A813" s="103" t="s">
        <v>141</v>
      </c>
      <c r="B813" s="198" t="s">
        <v>333</v>
      </c>
      <c r="C813" s="37" t="s">
        <v>226</v>
      </c>
      <c r="D813" s="103">
        <v>271</v>
      </c>
      <c r="E813" s="122">
        <v>2441052</v>
      </c>
      <c r="F813" s="122">
        <v>2438012</v>
      </c>
      <c r="G813" s="227" t="s">
        <v>457</v>
      </c>
      <c r="H813" s="122">
        <v>3040</v>
      </c>
      <c r="I813" s="199">
        <v>0</v>
      </c>
      <c r="J813" s="199">
        <v>0</v>
      </c>
      <c r="K813" s="199">
        <v>0</v>
      </c>
      <c r="L813" s="122">
        <v>3040</v>
      </c>
    </row>
    <row r="814" spans="1:12" ht="45" x14ac:dyDescent="0.2">
      <c r="A814" s="103" t="s">
        <v>141</v>
      </c>
      <c r="B814" s="198" t="s">
        <v>303</v>
      </c>
      <c r="C814" s="37" t="s">
        <v>304</v>
      </c>
      <c r="D814" s="103">
        <v>329</v>
      </c>
      <c r="E814" s="122">
        <v>456037</v>
      </c>
      <c r="F814" s="122">
        <v>450655</v>
      </c>
      <c r="G814" s="227" t="s">
        <v>457</v>
      </c>
      <c r="H814" s="122">
        <v>5382</v>
      </c>
      <c r="I814" s="199">
        <v>0</v>
      </c>
      <c r="J814" s="199">
        <v>0</v>
      </c>
      <c r="K814" s="199">
        <v>0</v>
      </c>
      <c r="L814" s="122">
        <v>5382</v>
      </c>
    </row>
    <row r="815" spans="1:12" ht="15" customHeight="1" x14ac:dyDescent="0.2">
      <c r="A815" s="103" t="s">
        <v>141</v>
      </c>
      <c r="B815" s="198" t="s">
        <v>342</v>
      </c>
      <c r="C815" s="37" t="s">
        <v>276</v>
      </c>
      <c r="D815" s="103">
        <v>139</v>
      </c>
      <c r="E815" s="122">
        <v>4917998</v>
      </c>
      <c r="F815" s="122">
        <v>4917998</v>
      </c>
      <c r="G815" s="227" t="s">
        <v>457</v>
      </c>
      <c r="H815" s="199">
        <v>0</v>
      </c>
      <c r="I815" s="122">
        <v>647814</v>
      </c>
      <c r="J815" s="122">
        <v>646501</v>
      </c>
      <c r="K815" s="122">
        <v>1313</v>
      </c>
      <c r="L815" s="122">
        <v>-1313</v>
      </c>
    </row>
    <row r="816" spans="1:12" ht="15" customHeight="1" x14ac:dyDescent="0.2">
      <c r="A816" s="103" t="s">
        <v>141</v>
      </c>
      <c r="B816" s="198" t="s">
        <v>270</v>
      </c>
      <c r="C816" s="37" t="s">
        <v>256</v>
      </c>
      <c r="D816" s="103">
        <v>244</v>
      </c>
      <c r="E816" s="122">
        <v>2162205</v>
      </c>
      <c r="F816" s="122">
        <v>2162205</v>
      </c>
      <c r="G816" s="227" t="s">
        <v>457</v>
      </c>
      <c r="H816" s="199">
        <v>0</v>
      </c>
      <c r="I816" s="122">
        <v>13814130</v>
      </c>
      <c r="J816" s="122">
        <v>654358</v>
      </c>
      <c r="K816" s="122">
        <v>13159772</v>
      </c>
      <c r="L816" s="122">
        <v>-13159772</v>
      </c>
    </row>
    <row r="817" spans="1:12" ht="15" customHeight="1" x14ac:dyDescent="0.2">
      <c r="A817" s="103" t="s">
        <v>141</v>
      </c>
      <c r="B817" s="198" t="s">
        <v>305</v>
      </c>
      <c r="C817" s="37" t="s">
        <v>226</v>
      </c>
      <c r="D817" s="103">
        <v>176</v>
      </c>
      <c r="E817" s="122">
        <v>3499900</v>
      </c>
      <c r="F817" s="122">
        <v>3499900</v>
      </c>
      <c r="G817" s="227" t="s">
        <v>457</v>
      </c>
      <c r="H817" s="199">
        <v>0</v>
      </c>
      <c r="I817" s="122">
        <v>1707693</v>
      </c>
      <c r="J817" s="122">
        <v>1706945</v>
      </c>
      <c r="K817" s="122">
        <v>748</v>
      </c>
      <c r="L817" s="122">
        <v>-748</v>
      </c>
    </row>
    <row r="818" spans="1:12" ht="15" customHeight="1" x14ac:dyDescent="0.2">
      <c r="A818" s="103" t="s">
        <v>141</v>
      </c>
      <c r="B818" s="198" t="s">
        <v>310</v>
      </c>
      <c r="C818" s="37" t="s">
        <v>311</v>
      </c>
      <c r="D818" s="103">
        <v>57</v>
      </c>
      <c r="E818" s="122">
        <v>1491266</v>
      </c>
      <c r="F818" s="122">
        <v>1489175</v>
      </c>
      <c r="G818" s="227" t="s">
        <v>457</v>
      </c>
      <c r="H818" s="122">
        <v>2091</v>
      </c>
      <c r="I818" s="122">
        <v>548259</v>
      </c>
      <c r="J818" s="122">
        <v>548259</v>
      </c>
      <c r="K818" s="199">
        <v>0</v>
      </c>
      <c r="L818" s="122">
        <v>2091</v>
      </c>
    </row>
    <row r="819" spans="1:12" ht="15" customHeight="1" x14ac:dyDescent="0.2">
      <c r="A819" s="103" t="s">
        <v>141</v>
      </c>
      <c r="B819" s="198" t="s">
        <v>253</v>
      </c>
      <c r="C819" s="37" t="s">
        <v>254</v>
      </c>
      <c r="D819" s="103">
        <v>171</v>
      </c>
      <c r="E819" s="122">
        <v>4549931</v>
      </c>
      <c r="F819" s="122">
        <v>4549931</v>
      </c>
      <c r="G819" s="227" t="s">
        <v>457</v>
      </c>
      <c r="H819" s="199">
        <v>0</v>
      </c>
      <c r="I819" s="122">
        <v>420875</v>
      </c>
      <c r="J819" s="122">
        <v>420292</v>
      </c>
      <c r="K819" s="122">
        <v>583</v>
      </c>
      <c r="L819" s="122">
        <v>-583</v>
      </c>
    </row>
    <row r="820" spans="1:12" ht="15" customHeight="1" x14ac:dyDescent="0.2">
      <c r="A820" s="103" t="s">
        <v>141</v>
      </c>
      <c r="B820" s="198" t="s">
        <v>350</v>
      </c>
      <c r="C820" s="37" t="s">
        <v>351</v>
      </c>
      <c r="D820" s="103">
        <v>156</v>
      </c>
      <c r="E820" s="122">
        <v>5797583</v>
      </c>
      <c r="F820" s="122">
        <v>5797583</v>
      </c>
      <c r="G820" s="227" t="s">
        <v>457</v>
      </c>
      <c r="H820" s="199">
        <v>0</v>
      </c>
      <c r="I820" s="122">
        <v>3639998</v>
      </c>
      <c r="J820" s="122">
        <v>3571501</v>
      </c>
      <c r="K820" s="122">
        <v>68497</v>
      </c>
      <c r="L820" s="122">
        <v>-68497</v>
      </c>
    </row>
    <row r="821" spans="1:12" ht="15" customHeight="1" x14ac:dyDescent="0.2">
      <c r="A821" s="103" t="s">
        <v>141</v>
      </c>
      <c r="B821" s="198" t="s">
        <v>352</v>
      </c>
      <c r="C821" s="37" t="s">
        <v>353</v>
      </c>
      <c r="D821" s="103">
        <v>146</v>
      </c>
      <c r="E821" s="122">
        <v>1738242</v>
      </c>
      <c r="F821" s="122">
        <v>1738242</v>
      </c>
      <c r="G821" s="227" t="s">
        <v>457</v>
      </c>
      <c r="H821" s="199">
        <v>0</v>
      </c>
      <c r="I821" s="122">
        <v>250700</v>
      </c>
      <c r="J821" s="122">
        <v>250499</v>
      </c>
      <c r="K821" s="122">
        <v>201</v>
      </c>
      <c r="L821" s="122">
        <v>-201</v>
      </c>
    </row>
    <row r="822" spans="1:12" ht="15" customHeight="1" x14ac:dyDescent="0.2">
      <c r="A822" s="103" t="s">
        <v>141</v>
      </c>
      <c r="B822" s="198" t="s">
        <v>345</v>
      </c>
      <c r="C822" s="37" t="s">
        <v>318</v>
      </c>
      <c r="D822" s="103">
        <v>208</v>
      </c>
      <c r="E822" s="122">
        <v>25057181</v>
      </c>
      <c r="F822" s="122">
        <v>24937249</v>
      </c>
      <c r="G822" s="227" t="s">
        <v>457</v>
      </c>
      <c r="H822" s="122">
        <v>119932</v>
      </c>
      <c r="I822" s="122">
        <v>1138703</v>
      </c>
      <c r="J822" s="122">
        <v>1138703</v>
      </c>
      <c r="K822" s="199">
        <v>0</v>
      </c>
      <c r="L822" s="122">
        <v>119932</v>
      </c>
    </row>
    <row r="823" spans="1:12" ht="15" customHeight="1" x14ac:dyDescent="0.2">
      <c r="A823" s="103" t="s">
        <v>141</v>
      </c>
      <c r="B823" s="198" t="s">
        <v>257</v>
      </c>
      <c r="C823" s="37" t="s">
        <v>239</v>
      </c>
      <c r="D823" s="103">
        <v>260</v>
      </c>
      <c r="E823" s="122">
        <v>12903346</v>
      </c>
      <c r="F823" s="122">
        <v>12891060</v>
      </c>
      <c r="G823" s="227" t="s">
        <v>457</v>
      </c>
      <c r="H823" s="122">
        <v>12286</v>
      </c>
      <c r="I823" s="122">
        <v>796556</v>
      </c>
      <c r="J823" s="122">
        <v>796556</v>
      </c>
      <c r="K823" s="199">
        <v>0</v>
      </c>
      <c r="L823" s="122">
        <v>12286</v>
      </c>
    </row>
    <row r="824" spans="1:12" ht="15" customHeight="1" x14ac:dyDescent="0.2">
      <c r="A824" s="206" t="s">
        <v>392</v>
      </c>
      <c r="B824" s="228" t="s">
        <v>457</v>
      </c>
      <c r="C824" s="228" t="s">
        <v>457</v>
      </c>
      <c r="D824" s="228" t="s">
        <v>457</v>
      </c>
      <c r="E824" s="117">
        <f>SUBTOTAL(109,school200102[Program
Costs])</f>
        <v>397097007</v>
      </c>
      <c r="F824" s="117">
        <f>SUBTOTAL(109,school200102[Less: Net
 Payments and 
Offsets 2])</f>
        <v>392062400</v>
      </c>
      <c r="G824" s="228" t="s">
        <v>457</v>
      </c>
      <c r="H824" s="117">
        <f>SUBTOTAL(109,school200102[Accounts Payable
Balance])</f>
        <v>5034607</v>
      </c>
      <c r="I824" s="117">
        <f>SUBTOTAL(109,school200102[Established
Accounts Receivable])</f>
        <v>49635549</v>
      </c>
      <c r="J824" s="117">
        <f>SUBTOTAL(109,school200102[Less: 
Recovered 
Amount])</f>
        <v>36119171</v>
      </c>
      <c r="K824" s="117">
        <f>SUBTOTAL(109,school200102[Accounts Receivable
Balance])</f>
        <v>13516378</v>
      </c>
      <c r="L824" s="117">
        <f>SUBTOTAL(109,school200102[Net
Balance])</f>
        <v>-8481771</v>
      </c>
    </row>
    <row r="825" spans="1:12" x14ac:dyDescent="0.2">
      <c r="A825" s="169" t="s">
        <v>463</v>
      </c>
      <c r="B825" s="198"/>
      <c r="C825" s="37"/>
      <c r="D825" s="103"/>
      <c r="E825" s="122"/>
      <c r="F825" s="122"/>
      <c r="G825" s="122"/>
      <c r="H825" s="122"/>
      <c r="I825" s="122"/>
      <c r="J825" s="122"/>
      <c r="K825" s="122"/>
      <c r="L825" s="122"/>
    </row>
    <row r="826" spans="1:12" ht="50.1" customHeight="1" x14ac:dyDescent="0.2">
      <c r="A826" s="40" t="s">
        <v>1</v>
      </c>
      <c r="B826" s="40" t="s">
        <v>15</v>
      </c>
      <c r="C826" s="40" t="s">
        <v>16</v>
      </c>
      <c r="D826" s="40" t="s">
        <v>454</v>
      </c>
      <c r="E826" s="230" t="s">
        <v>3</v>
      </c>
      <c r="F826" s="231" t="s">
        <v>592</v>
      </c>
      <c r="G826" s="232" t="s">
        <v>462</v>
      </c>
      <c r="H826" s="230" t="s">
        <v>461</v>
      </c>
      <c r="I826" s="197" t="s">
        <v>460</v>
      </c>
      <c r="J826" s="230" t="s">
        <v>459</v>
      </c>
      <c r="K826" s="230" t="s">
        <v>458</v>
      </c>
      <c r="L826" s="230" t="s">
        <v>17</v>
      </c>
    </row>
    <row r="827" spans="1:12" ht="30" customHeight="1" x14ac:dyDescent="0.2">
      <c r="A827" s="103" t="s">
        <v>144</v>
      </c>
      <c r="B827" s="198" t="s">
        <v>300</v>
      </c>
      <c r="C827" s="37" t="s">
        <v>296</v>
      </c>
      <c r="D827" s="103">
        <v>348</v>
      </c>
      <c r="E827" s="122">
        <v>37507169</v>
      </c>
      <c r="F827" s="122">
        <v>34737941</v>
      </c>
      <c r="G827" s="227" t="s">
        <v>457</v>
      </c>
      <c r="H827" s="122">
        <v>2769228</v>
      </c>
      <c r="I827" s="199">
        <v>0</v>
      </c>
      <c r="J827" s="199">
        <v>0</v>
      </c>
      <c r="K827" s="199">
        <v>0</v>
      </c>
      <c r="L827" s="122">
        <v>2769228</v>
      </c>
    </row>
    <row r="828" spans="1:12" ht="15" customHeight="1" x14ac:dyDescent="0.2">
      <c r="A828" s="103" t="s">
        <v>144</v>
      </c>
      <c r="B828" s="198" t="s">
        <v>347</v>
      </c>
      <c r="C828" s="37" t="s">
        <v>274</v>
      </c>
      <c r="D828" s="103">
        <v>140</v>
      </c>
      <c r="E828" s="122">
        <v>4273725</v>
      </c>
      <c r="F828" s="122">
        <v>4273725</v>
      </c>
      <c r="G828" s="227" t="s">
        <v>457</v>
      </c>
      <c r="H828" s="199">
        <v>0</v>
      </c>
      <c r="I828" s="122">
        <v>84006</v>
      </c>
      <c r="J828" s="122">
        <v>82254</v>
      </c>
      <c r="K828" s="122">
        <v>1752</v>
      </c>
      <c r="L828" s="122">
        <v>-1752</v>
      </c>
    </row>
    <row r="829" spans="1:12" s="229" customFormat="1" ht="15" customHeight="1" x14ac:dyDescent="0.2">
      <c r="A829" s="103" t="s">
        <v>144</v>
      </c>
      <c r="B829" s="198" t="s">
        <v>235</v>
      </c>
      <c r="C829" s="37" t="s">
        <v>236</v>
      </c>
      <c r="D829" s="103">
        <v>183</v>
      </c>
      <c r="E829" s="122">
        <v>5005920</v>
      </c>
      <c r="F829" s="122">
        <v>5005920</v>
      </c>
      <c r="G829" s="227" t="s">
        <v>457</v>
      </c>
      <c r="H829" s="199">
        <v>0</v>
      </c>
      <c r="I829" s="122">
        <v>743465</v>
      </c>
      <c r="J829" s="122">
        <v>741868</v>
      </c>
      <c r="K829" s="122">
        <v>1597</v>
      </c>
      <c r="L829" s="122">
        <v>-1597</v>
      </c>
    </row>
    <row r="830" spans="1:12" ht="15" customHeight="1" x14ac:dyDescent="0.2">
      <c r="A830" s="103" t="s">
        <v>144</v>
      </c>
      <c r="B830" s="198" t="s">
        <v>321</v>
      </c>
      <c r="C830" s="37" t="s">
        <v>239</v>
      </c>
      <c r="D830" s="103">
        <v>26</v>
      </c>
      <c r="E830" s="122">
        <v>9008998</v>
      </c>
      <c r="F830" s="122">
        <v>9008998</v>
      </c>
      <c r="G830" s="227" t="s">
        <v>457</v>
      </c>
      <c r="H830" s="199">
        <v>0</v>
      </c>
      <c r="I830" s="122">
        <v>6745209</v>
      </c>
      <c r="J830" s="122">
        <v>6707289</v>
      </c>
      <c r="K830" s="122">
        <v>37920</v>
      </c>
      <c r="L830" s="122">
        <v>-37920</v>
      </c>
    </row>
    <row r="831" spans="1:12" ht="15" customHeight="1" x14ac:dyDescent="0.2">
      <c r="A831" s="103" t="s">
        <v>144</v>
      </c>
      <c r="B831" s="198" t="s">
        <v>344</v>
      </c>
      <c r="C831" s="37" t="s">
        <v>239</v>
      </c>
      <c r="D831" s="103">
        <v>295</v>
      </c>
      <c r="E831" s="122">
        <v>156326089</v>
      </c>
      <c r="F831" s="122">
        <v>155700922</v>
      </c>
      <c r="G831" s="227" t="s">
        <v>457</v>
      </c>
      <c r="H831" s="122">
        <v>625167</v>
      </c>
      <c r="I831" s="199">
        <v>0</v>
      </c>
      <c r="J831" s="199">
        <v>0</v>
      </c>
      <c r="K831" s="199">
        <v>0</v>
      </c>
      <c r="L831" s="122">
        <v>625167</v>
      </c>
    </row>
    <row r="832" spans="1:12" ht="15" customHeight="1" x14ac:dyDescent="0.2">
      <c r="A832" s="103" t="s">
        <v>144</v>
      </c>
      <c r="B832" s="198" t="s">
        <v>240</v>
      </c>
      <c r="C832" s="37" t="s">
        <v>241</v>
      </c>
      <c r="D832" s="103">
        <v>166</v>
      </c>
      <c r="E832" s="122">
        <v>8137909</v>
      </c>
      <c r="F832" s="122">
        <v>8137909</v>
      </c>
      <c r="G832" s="227" t="s">
        <v>457</v>
      </c>
      <c r="H832" s="199">
        <v>0</v>
      </c>
      <c r="I832" s="122">
        <v>2391214</v>
      </c>
      <c r="J832" s="122">
        <v>2385214</v>
      </c>
      <c r="K832" s="122">
        <v>6000</v>
      </c>
      <c r="L832" s="122">
        <v>-6000</v>
      </c>
    </row>
    <row r="833" spans="1:12" ht="15" customHeight="1" x14ac:dyDescent="0.2">
      <c r="A833" s="103" t="s">
        <v>144</v>
      </c>
      <c r="B833" s="198" t="s">
        <v>248</v>
      </c>
      <c r="C833" s="37" t="s">
        <v>249</v>
      </c>
      <c r="D833" s="103">
        <v>153</v>
      </c>
      <c r="E833" s="122">
        <v>9807270</v>
      </c>
      <c r="F833" s="122">
        <v>9807270</v>
      </c>
      <c r="G833" s="227" t="s">
        <v>457</v>
      </c>
      <c r="H833" s="199">
        <v>0</v>
      </c>
      <c r="I833" s="122">
        <v>1636613</v>
      </c>
      <c r="J833" s="122">
        <v>1636463</v>
      </c>
      <c r="K833" s="122">
        <v>150</v>
      </c>
      <c r="L833" s="122">
        <v>-150</v>
      </c>
    </row>
    <row r="834" spans="1:12" ht="15" customHeight="1" x14ac:dyDescent="0.2">
      <c r="A834" s="103" t="s">
        <v>144</v>
      </c>
      <c r="B834" s="198" t="s">
        <v>142</v>
      </c>
      <c r="C834" s="37" t="s">
        <v>143</v>
      </c>
      <c r="D834" s="103">
        <v>169</v>
      </c>
      <c r="E834" s="122">
        <v>231880</v>
      </c>
      <c r="F834" s="122">
        <v>231880</v>
      </c>
      <c r="G834" s="227" t="s">
        <v>457</v>
      </c>
      <c r="H834" s="199">
        <v>0</v>
      </c>
      <c r="I834" s="122">
        <v>56171</v>
      </c>
      <c r="J834" s="122">
        <v>54892</v>
      </c>
      <c r="K834" s="122">
        <v>1279</v>
      </c>
      <c r="L834" s="122">
        <v>-1279</v>
      </c>
    </row>
    <row r="835" spans="1:12" ht="15" customHeight="1" x14ac:dyDescent="0.2">
      <c r="A835" s="103" t="s">
        <v>144</v>
      </c>
      <c r="B835" s="198" t="s">
        <v>82</v>
      </c>
      <c r="C835" s="37" t="s">
        <v>83</v>
      </c>
      <c r="D835" s="103">
        <v>42</v>
      </c>
      <c r="E835" s="122">
        <v>15900354</v>
      </c>
      <c r="F835" s="122">
        <v>15900354</v>
      </c>
      <c r="G835" s="227" t="s">
        <v>457</v>
      </c>
      <c r="H835" s="199">
        <v>0</v>
      </c>
      <c r="I835" s="122">
        <v>488975</v>
      </c>
      <c r="J835" s="122">
        <v>487057</v>
      </c>
      <c r="K835" s="122">
        <v>1918</v>
      </c>
      <c r="L835" s="122">
        <v>-1918</v>
      </c>
    </row>
    <row r="836" spans="1:12" ht="15" customHeight="1" x14ac:dyDescent="0.2">
      <c r="A836" s="103" t="s">
        <v>144</v>
      </c>
      <c r="B836" s="198" t="s">
        <v>149</v>
      </c>
      <c r="C836" s="37" t="s">
        <v>72</v>
      </c>
      <c r="D836" s="103">
        <v>92</v>
      </c>
      <c r="E836" s="122">
        <v>2854</v>
      </c>
      <c r="F836" s="122">
        <v>2854</v>
      </c>
      <c r="G836" s="227" t="s">
        <v>457</v>
      </c>
      <c r="H836" s="199">
        <v>0</v>
      </c>
      <c r="I836" s="122">
        <v>37398</v>
      </c>
      <c r="J836" s="122">
        <v>30346</v>
      </c>
      <c r="K836" s="122">
        <v>7052</v>
      </c>
      <c r="L836" s="122">
        <v>-7052</v>
      </c>
    </row>
    <row r="837" spans="1:12" ht="15" customHeight="1" x14ac:dyDescent="0.2">
      <c r="A837" s="103" t="s">
        <v>144</v>
      </c>
      <c r="B837" s="198" t="s">
        <v>349</v>
      </c>
      <c r="C837" s="37" t="s">
        <v>72</v>
      </c>
      <c r="D837" s="103">
        <v>201</v>
      </c>
      <c r="E837" s="122">
        <v>10104090</v>
      </c>
      <c r="F837" s="122">
        <v>10093674</v>
      </c>
      <c r="G837" s="227" t="s">
        <v>457</v>
      </c>
      <c r="H837" s="122">
        <v>10416</v>
      </c>
      <c r="I837" s="122">
        <v>124736</v>
      </c>
      <c r="J837" s="122">
        <v>119796</v>
      </c>
      <c r="K837" s="122">
        <v>4940</v>
      </c>
      <c r="L837" s="122">
        <v>5476</v>
      </c>
    </row>
    <row r="838" spans="1:12" ht="15" customHeight="1" x14ac:dyDescent="0.2">
      <c r="A838" s="103" t="s">
        <v>144</v>
      </c>
      <c r="B838" s="198" t="s">
        <v>71</v>
      </c>
      <c r="C838" s="37" t="s">
        <v>72</v>
      </c>
      <c r="D838" s="103">
        <v>218</v>
      </c>
      <c r="E838" s="122">
        <v>635471</v>
      </c>
      <c r="F838" s="122">
        <v>629646</v>
      </c>
      <c r="G838" s="227" t="s">
        <v>457</v>
      </c>
      <c r="H838" s="122">
        <v>5825</v>
      </c>
      <c r="I838" s="199">
        <v>0</v>
      </c>
      <c r="J838" s="199">
        <v>0</v>
      </c>
      <c r="K838" s="199">
        <v>0</v>
      </c>
      <c r="L838" s="122">
        <v>5825</v>
      </c>
    </row>
    <row r="839" spans="1:12" ht="15" customHeight="1" x14ac:dyDescent="0.2">
      <c r="A839" s="103" t="s">
        <v>144</v>
      </c>
      <c r="B839" s="198" t="s">
        <v>268</v>
      </c>
      <c r="C839" s="37" t="s">
        <v>269</v>
      </c>
      <c r="D839" s="103">
        <v>173</v>
      </c>
      <c r="E839" s="122">
        <v>2328624</v>
      </c>
      <c r="F839" s="122">
        <v>2328624</v>
      </c>
      <c r="G839" s="227" t="s">
        <v>457</v>
      </c>
      <c r="H839" s="199">
        <v>0</v>
      </c>
      <c r="I839" s="122">
        <v>237134</v>
      </c>
      <c r="J839" s="122">
        <v>236756</v>
      </c>
      <c r="K839" s="122">
        <v>378</v>
      </c>
      <c r="L839" s="122">
        <v>-378</v>
      </c>
    </row>
    <row r="840" spans="1:12" ht="30" customHeight="1" x14ac:dyDescent="0.2">
      <c r="A840" s="103" t="s">
        <v>144</v>
      </c>
      <c r="B840" s="198" t="s">
        <v>354</v>
      </c>
      <c r="C840" s="37" t="s">
        <v>355</v>
      </c>
      <c r="D840" s="103">
        <v>328</v>
      </c>
      <c r="E840" s="122">
        <v>367657</v>
      </c>
      <c r="F840" s="122">
        <v>366383</v>
      </c>
      <c r="G840" s="227" t="s">
        <v>457</v>
      </c>
      <c r="H840" s="122">
        <v>1274</v>
      </c>
      <c r="I840" s="199">
        <v>0</v>
      </c>
      <c r="J840" s="199">
        <v>0</v>
      </c>
      <c r="K840" s="199">
        <v>0</v>
      </c>
      <c r="L840" s="122">
        <v>1274</v>
      </c>
    </row>
    <row r="841" spans="1:12" ht="15" customHeight="1" x14ac:dyDescent="0.2">
      <c r="A841" s="103" t="s">
        <v>144</v>
      </c>
      <c r="B841" s="198" t="s">
        <v>342</v>
      </c>
      <c r="C841" s="37" t="s">
        <v>276</v>
      </c>
      <c r="D841" s="103">
        <v>139</v>
      </c>
      <c r="E841" s="122">
        <v>5226049</v>
      </c>
      <c r="F841" s="122">
        <v>5226049</v>
      </c>
      <c r="G841" s="227" t="s">
        <v>457</v>
      </c>
      <c r="H841" s="199">
        <v>0</v>
      </c>
      <c r="I841" s="122">
        <v>301477</v>
      </c>
      <c r="J841" s="122">
        <v>300847</v>
      </c>
      <c r="K841" s="122">
        <v>630</v>
      </c>
      <c r="L841" s="122">
        <v>-630</v>
      </c>
    </row>
    <row r="842" spans="1:12" s="229" customFormat="1" ht="15" customHeight="1" x14ac:dyDescent="0.2">
      <c r="A842" s="103" t="s">
        <v>144</v>
      </c>
      <c r="B842" s="198" t="s">
        <v>310</v>
      </c>
      <c r="C842" s="37" t="s">
        <v>311</v>
      </c>
      <c r="D842" s="103">
        <v>57</v>
      </c>
      <c r="E842" s="122">
        <v>1047563</v>
      </c>
      <c r="F842" s="122">
        <v>1047255</v>
      </c>
      <c r="G842" s="227" t="s">
        <v>457</v>
      </c>
      <c r="H842" s="122">
        <v>308</v>
      </c>
      <c r="I842" s="122">
        <v>780671</v>
      </c>
      <c r="J842" s="122">
        <v>780671</v>
      </c>
      <c r="K842" s="199">
        <v>0</v>
      </c>
      <c r="L842" s="122">
        <v>308</v>
      </c>
    </row>
    <row r="843" spans="1:12" ht="15" customHeight="1" x14ac:dyDescent="0.2">
      <c r="A843" s="103" t="s">
        <v>144</v>
      </c>
      <c r="B843" s="198" t="s">
        <v>356</v>
      </c>
      <c r="C843" s="37" t="s">
        <v>357</v>
      </c>
      <c r="D843" s="103">
        <v>184</v>
      </c>
      <c r="E843" s="122">
        <v>2769154</v>
      </c>
      <c r="F843" s="122">
        <v>2765894</v>
      </c>
      <c r="G843" s="227" t="s">
        <v>457</v>
      </c>
      <c r="H843" s="122">
        <v>3260</v>
      </c>
      <c r="I843" s="122">
        <v>2356</v>
      </c>
      <c r="J843" s="122">
        <v>2356</v>
      </c>
      <c r="K843" s="199">
        <v>0</v>
      </c>
      <c r="L843" s="122">
        <v>3260</v>
      </c>
    </row>
    <row r="844" spans="1:12" ht="15" customHeight="1" x14ac:dyDescent="0.2">
      <c r="A844" s="103" t="s">
        <v>144</v>
      </c>
      <c r="B844" s="198" t="s">
        <v>350</v>
      </c>
      <c r="C844" s="37" t="s">
        <v>351</v>
      </c>
      <c r="D844" s="103">
        <v>156</v>
      </c>
      <c r="E844" s="122">
        <v>2951587</v>
      </c>
      <c r="F844" s="122">
        <v>2951587</v>
      </c>
      <c r="G844" s="227" t="s">
        <v>457</v>
      </c>
      <c r="H844" s="199">
        <v>0</v>
      </c>
      <c r="I844" s="122">
        <v>4502407</v>
      </c>
      <c r="J844" s="122">
        <v>4444654</v>
      </c>
      <c r="K844" s="122">
        <v>57753</v>
      </c>
      <c r="L844" s="122">
        <v>-57753</v>
      </c>
    </row>
    <row r="845" spans="1:12" ht="15" customHeight="1" x14ac:dyDescent="0.2">
      <c r="A845" s="103" t="s">
        <v>144</v>
      </c>
      <c r="B845" s="198" t="s">
        <v>312</v>
      </c>
      <c r="C845" s="37" t="s">
        <v>313</v>
      </c>
      <c r="D845" s="103">
        <v>58</v>
      </c>
      <c r="E845" s="122">
        <v>2597892</v>
      </c>
      <c r="F845" s="122">
        <v>2597892</v>
      </c>
      <c r="G845" s="227" t="s">
        <v>457</v>
      </c>
      <c r="H845" s="199">
        <v>0</v>
      </c>
      <c r="I845" s="122">
        <v>227843</v>
      </c>
      <c r="J845" s="122">
        <v>227326</v>
      </c>
      <c r="K845" s="122">
        <v>517</v>
      </c>
      <c r="L845" s="122">
        <v>-517</v>
      </c>
    </row>
    <row r="846" spans="1:12" ht="15" customHeight="1" x14ac:dyDescent="0.2">
      <c r="A846" s="103" t="s">
        <v>144</v>
      </c>
      <c r="B846" s="198" t="s">
        <v>345</v>
      </c>
      <c r="C846" s="37" t="s">
        <v>318</v>
      </c>
      <c r="D846" s="103">
        <v>208</v>
      </c>
      <c r="E846" s="122">
        <v>21601815</v>
      </c>
      <c r="F846" s="122">
        <v>21537808</v>
      </c>
      <c r="G846" s="227" t="s">
        <v>457</v>
      </c>
      <c r="H846" s="122">
        <v>64007</v>
      </c>
      <c r="I846" s="122">
        <v>1912828</v>
      </c>
      <c r="J846" s="122">
        <v>1912828</v>
      </c>
      <c r="K846" s="199">
        <v>0</v>
      </c>
      <c r="L846" s="122">
        <v>64007</v>
      </c>
    </row>
    <row r="847" spans="1:12" ht="15" customHeight="1" x14ac:dyDescent="0.2">
      <c r="A847" s="103" t="s">
        <v>144</v>
      </c>
      <c r="B847" s="198" t="s">
        <v>257</v>
      </c>
      <c r="C847" s="37" t="s">
        <v>239</v>
      </c>
      <c r="D847" s="103">
        <v>260</v>
      </c>
      <c r="E847" s="122">
        <v>10398943</v>
      </c>
      <c r="F847" s="122">
        <v>10397070</v>
      </c>
      <c r="G847" s="227" t="s">
        <v>457</v>
      </c>
      <c r="H847" s="122">
        <v>1873</v>
      </c>
      <c r="I847" s="122">
        <v>940785</v>
      </c>
      <c r="J847" s="122">
        <v>940785</v>
      </c>
      <c r="K847" s="199">
        <v>0</v>
      </c>
      <c r="L847" s="122">
        <v>1873</v>
      </c>
    </row>
    <row r="848" spans="1:12" ht="15" customHeight="1" x14ac:dyDescent="0.2">
      <c r="A848" s="206" t="s">
        <v>393</v>
      </c>
      <c r="B848" s="228" t="s">
        <v>457</v>
      </c>
      <c r="C848" s="228" t="s">
        <v>457</v>
      </c>
      <c r="D848" s="228" t="s">
        <v>457</v>
      </c>
      <c r="E848" s="117">
        <f>SUBTOTAL(109,school200001[Program
Costs])</f>
        <v>306231013</v>
      </c>
      <c r="F848" s="117">
        <f>SUBTOTAL(109,school200001[Less: Net
 Payments and 
Offsets 2])</f>
        <v>302749655</v>
      </c>
      <c r="G848" s="228" t="s">
        <v>457</v>
      </c>
      <c r="H848" s="117">
        <f>SUBTOTAL(109,school200001[Accounts Payable
Balance])</f>
        <v>3481358</v>
      </c>
      <c r="I848" s="117">
        <f>SUBTOTAL(109,school200001[Established
Accounts Receivable])</f>
        <v>21213288</v>
      </c>
      <c r="J848" s="117">
        <f>SUBTOTAL(109,school200001[Less: 
Recovered 
Amount])</f>
        <v>21091402</v>
      </c>
      <c r="K848" s="117">
        <f>SUBTOTAL(109,school200001[Accounts Receivable
Balance])</f>
        <v>121886</v>
      </c>
      <c r="L848" s="117">
        <f>SUBTOTAL(109,school200001[Net
Balance])</f>
        <v>3359472</v>
      </c>
    </row>
    <row r="849" spans="1:12" ht="15.75" customHeight="1" x14ac:dyDescent="0.2">
      <c r="A849" s="169" t="s">
        <v>463</v>
      </c>
      <c r="B849" s="198"/>
      <c r="C849" s="37"/>
      <c r="D849" s="103"/>
      <c r="E849" s="122"/>
      <c r="F849" s="122"/>
      <c r="G849" s="122"/>
      <c r="H849" s="122"/>
      <c r="I849" s="122"/>
      <c r="J849" s="122"/>
      <c r="K849" s="122"/>
      <c r="L849" s="122"/>
    </row>
    <row r="850" spans="1:12" s="229" customFormat="1" ht="50.1" customHeight="1" x14ac:dyDescent="0.2">
      <c r="A850" s="40" t="s">
        <v>1</v>
      </c>
      <c r="B850" s="40" t="s">
        <v>15</v>
      </c>
      <c r="C850" s="40" t="s">
        <v>16</v>
      </c>
      <c r="D850" s="40" t="s">
        <v>454</v>
      </c>
      <c r="E850" s="230" t="s">
        <v>3</v>
      </c>
      <c r="F850" s="231" t="s">
        <v>592</v>
      </c>
      <c r="G850" s="232" t="s">
        <v>462</v>
      </c>
      <c r="H850" s="230" t="s">
        <v>461</v>
      </c>
      <c r="I850" s="197" t="s">
        <v>460</v>
      </c>
      <c r="J850" s="230" t="s">
        <v>459</v>
      </c>
      <c r="K850" s="230" t="s">
        <v>458</v>
      </c>
      <c r="L850" s="230" t="s">
        <v>17</v>
      </c>
    </row>
    <row r="851" spans="1:12" ht="30" customHeight="1" x14ac:dyDescent="0.2">
      <c r="A851" s="103" t="s">
        <v>145</v>
      </c>
      <c r="B851" s="198" t="s">
        <v>300</v>
      </c>
      <c r="C851" s="37" t="s">
        <v>296</v>
      </c>
      <c r="D851" s="103">
        <v>348</v>
      </c>
      <c r="E851" s="122">
        <v>35228511</v>
      </c>
      <c r="F851" s="122">
        <v>32753841</v>
      </c>
      <c r="G851" s="227" t="s">
        <v>457</v>
      </c>
      <c r="H851" s="122">
        <v>2474670</v>
      </c>
      <c r="I851" s="199">
        <v>0</v>
      </c>
      <c r="J851" s="199">
        <v>0</v>
      </c>
      <c r="K851" s="199">
        <v>0</v>
      </c>
      <c r="L851" s="122">
        <v>2474670</v>
      </c>
    </row>
    <row r="852" spans="1:12" ht="15" customHeight="1" x14ac:dyDescent="0.2">
      <c r="A852" s="103" t="s">
        <v>145</v>
      </c>
      <c r="B852" s="198" t="s">
        <v>347</v>
      </c>
      <c r="C852" s="37" t="s">
        <v>274</v>
      </c>
      <c r="D852" s="103">
        <v>140</v>
      </c>
      <c r="E852" s="122">
        <v>3780229</v>
      </c>
      <c r="F852" s="122">
        <v>3780229</v>
      </c>
      <c r="G852" s="227" t="s">
        <v>457</v>
      </c>
      <c r="H852" s="199">
        <v>0</v>
      </c>
      <c r="I852" s="122">
        <v>66628</v>
      </c>
      <c r="J852" s="122">
        <v>64889</v>
      </c>
      <c r="K852" s="122">
        <v>1739</v>
      </c>
      <c r="L852" s="122">
        <v>-1739</v>
      </c>
    </row>
    <row r="853" spans="1:12" ht="30" customHeight="1" x14ac:dyDescent="0.2">
      <c r="A853" s="103" t="s">
        <v>145</v>
      </c>
      <c r="B853" s="198" t="s">
        <v>195</v>
      </c>
      <c r="C853" s="37" t="s">
        <v>196</v>
      </c>
      <c r="D853" s="103">
        <v>11</v>
      </c>
      <c r="E853" s="122">
        <v>43276594</v>
      </c>
      <c r="F853" s="122">
        <v>43276594</v>
      </c>
      <c r="G853" s="227" t="s">
        <v>457</v>
      </c>
      <c r="H853" s="199">
        <v>0</v>
      </c>
      <c r="I853" s="122">
        <v>5245736</v>
      </c>
      <c r="J853" s="122">
        <v>5240272</v>
      </c>
      <c r="K853" s="122">
        <v>5464</v>
      </c>
      <c r="L853" s="122">
        <v>-5464</v>
      </c>
    </row>
    <row r="854" spans="1:12" ht="15" customHeight="1" x14ac:dyDescent="0.2">
      <c r="A854" s="103" t="s">
        <v>145</v>
      </c>
      <c r="B854" s="198" t="s">
        <v>321</v>
      </c>
      <c r="C854" s="37" t="s">
        <v>239</v>
      </c>
      <c r="D854" s="103">
        <v>26</v>
      </c>
      <c r="E854" s="122">
        <v>7457120</v>
      </c>
      <c r="F854" s="122">
        <v>7457120</v>
      </c>
      <c r="G854" s="227" t="s">
        <v>457</v>
      </c>
      <c r="H854" s="199">
        <v>0</v>
      </c>
      <c r="I854" s="122">
        <v>1014331</v>
      </c>
      <c r="J854" s="122">
        <v>983829</v>
      </c>
      <c r="K854" s="122">
        <v>30502</v>
      </c>
      <c r="L854" s="122">
        <v>-30502</v>
      </c>
    </row>
    <row r="855" spans="1:12" ht="15" customHeight="1" x14ac:dyDescent="0.2">
      <c r="A855" s="103" t="s">
        <v>145</v>
      </c>
      <c r="B855" s="198" t="s">
        <v>344</v>
      </c>
      <c r="C855" s="37" t="s">
        <v>239</v>
      </c>
      <c r="D855" s="103">
        <v>295</v>
      </c>
      <c r="E855" s="122">
        <v>136367742</v>
      </c>
      <c r="F855" s="122">
        <v>135960581</v>
      </c>
      <c r="G855" s="227" t="s">
        <v>457</v>
      </c>
      <c r="H855" s="122">
        <v>407161</v>
      </c>
      <c r="I855" s="199">
        <v>0</v>
      </c>
      <c r="J855" s="199">
        <v>0</v>
      </c>
      <c r="K855" s="199">
        <v>0</v>
      </c>
      <c r="L855" s="122">
        <v>407161</v>
      </c>
    </row>
    <row r="856" spans="1:12" ht="15" customHeight="1" x14ac:dyDescent="0.2">
      <c r="A856" s="103" t="s">
        <v>145</v>
      </c>
      <c r="B856" s="198" t="s">
        <v>82</v>
      </c>
      <c r="C856" s="37" t="s">
        <v>83</v>
      </c>
      <c r="D856" s="103">
        <v>42</v>
      </c>
      <c r="E856" s="122">
        <v>14287192</v>
      </c>
      <c r="F856" s="122">
        <v>14287192</v>
      </c>
      <c r="G856" s="227" t="s">
        <v>457</v>
      </c>
      <c r="H856" s="199">
        <v>0</v>
      </c>
      <c r="I856" s="122">
        <v>111664</v>
      </c>
      <c r="J856" s="122">
        <v>111537</v>
      </c>
      <c r="K856" s="122">
        <v>127</v>
      </c>
      <c r="L856" s="122">
        <v>-127</v>
      </c>
    </row>
    <row r="857" spans="1:12" ht="15" customHeight="1" x14ac:dyDescent="0.2">
      <c r="A857" s="103" t="s">
        <v>145</v>
      </c>
      <c r="B857" s="198" t="s">
        <v>149</v>
      </c>
      <c r="C857" s="37" t="s">
        <v>72</v>
      </c>
      <c r="D857" s="103">
        <v>92</v>
      </c>
      <c r="E857" s="122">
        <v>4416671</v>
      </c>
      <c r="F857" s="122">
        <v>4416671</v>
      </c>
      <c r="G857" s="227" t="s">
        <v>457</v>
      </c>
      <c r="H857" s="199">
        <v>0</v>
      </c>
      <c r="I857" s="122">
        <v>67236</v>
      </c>
      <c r="J857" s="122">
        <v>67019</v>
      </c>
      <c r="K857" s="122">
        <v>217</v>
      </c>
      <c r="L857" s="122">
        <v>-217</v>
      </c>
    </row>
    <row r="858" spans="1:12" s="229" customFormat="1" ht="15" customHeight="1" x14ac:dyDescent="0.2">
      <c r="A858" s="103" t="s">
        <v>145</v>
      </c>
      <c r="B858" s="198" t="s">
        <v>71</v>
      </c>
      <c r="C858" s="37" t="s">
        <v>72</v>
      </c>
      <c r="D858" s="103">
        <v>218</v>
      </c>
      <c r="E858" s="122">
        <v>222400</v>
      </c>
      <c r="F858" s="122">
        <v>219969</v>
      </c>
      <c r="G858" s="227" t="s">
        <v>457</v>
      </c>
      <c r="H858" s="122">
        <v>2431</v>
      </c>
      <c r="I858" s="199">
        <v>0</v>
      </c>
      <c r="J858" s="199">
        <v>0</v>
      </c>
      <c r="K858" s="199">
        <v>0</v>
      </c>
      <c r="L858" s="122">
        <v>2431</v>
      </c>
    </row>
    <row r="859" spans="1:12" ht="15" customHeight="1" x14ac:dyDescent="0.2">
      <c r="A859" s="103" t="s">
        <v>145</v>
      </c>
      <c r="B859" s="198" t="s">
        <v>358</v>
      </c>
      <c r="C859" s="37" t="s">
        <v>357</v>
      </c>
      <c r="D859" s="103">
        <v>137</v>
      </c>
      <c r="E859" s="122">
        <v>242</v>
      </c>
      <c r="F859" s="122">
        <v>242</v>
      </c>
      <c r="G859" s="227" t="s">
        <v>457</v>
      </c>
      <c r="H859" s="199">
        <v>0</v>
      </c>
      <c r="I859" s="122">
        <v>5578</v>
      </c>
      <c r="J859" s="122">
        <v>5336</v>
      </c>
      <c r="K859" s="122">
        <v>242</v>
      </c>
      <c r="L859" s="122">
        <v>-242</v>
      </c>
    </row>
    <row r="860" spans="1:12" ht="15" customHeight="1" x14ac:dyDescent="0.2">
      <c r="A860" s="103" t="s">
        <v>145</v>
      </c>
      <c r="B860" s="198" t="s">
        <v>356</v>
      </c>
      <c r="C860" s="37" t="s">
        <v>357</v>
      </c>
      <c r="D860" s="103">
        <v>184</v>
      </c>
      <c r="E860" s="122">
        <v>3567570</v>
      </c>
      <c r="F860" s="122">
        <v>3567570</v>
      </c>
      <c r="G860" s="227" t="s">
        <v>457</v>
      </c>
      <c r="H860" s="199">
        <v>0</v>
      </c>
      <c r="I860" s="122">
        <v>21765</v>
      </c>
      <c r="J860" s="122">
        <v>21752</v>
      </c>
      <c r="K860" s="122">
        <v>13</v>
      </c>
      <c r="L860" s="122">
        <v>-13</v>
      </c>
    </row>
    <row r="861" spans="1:12" ht="15" customHeight="1" x14ac:dyDescent="0.2">
      <c r="A861" s="103" t="s">
        <v>145</v>
      </c>
      <c r="B861" s="198" t="s">
        <v>345</v>
      </c>
      <c r="C861" s="37" t="s">
        <v>318</v>
      </c>
      <c r="D861" s="103">
        <v>208</v>
      </c>
      <c r="E861" s="122">
        <v>23284241</v>
      </c>
      <c r="F861" s="122">
        <v>23249938</v>
      </c>
      <c r="G861" s="227" t="s">
        <v>457</v>
      </c>
      <c r="H861" s="122">
        <v>34303</v>
      </c>
      <c r="I861" s="122">
        <v>1272821</v>
      </c>
      <c r="J861" s="122">
        <v>1272821</v>
      </c>
      <c r="K861" s="199">
        <v>0</v>
      </c>
      <c r="L861" s="122">
        <v>34303</v>
      </c>
    </row>
    <row r="862" spans="1:12" ht="15" customHeight="1" x14ac:dyDescent="0.2">
      <c r="A862" s="206" t="s">
        <v>394</v>
      </c>
      <c r="B862" s="228" t="s">
        <v>457</v>
      </c>
      <c r="C862" s="228" t="s">
        <v>457</v>
      </c>
      <c r="D862" s="228" t="s">
        <v>457</v>
      </c>
      <c r="E862" s="117">
        <f>SUBTOTAL(109,school199900[Program
Costs])</f>
        <v>271888512</v>
      </c>
      <c r="F862" s="117">
        <f>SUBTOTAL(109,school199900[Less: Net
 Payments and 
Offsets 2])</f>
        <v>268969947</v>
      </c>
      <c r="G862" s="228" t="s">
        <v>457</v>
      </c>
      <c r="H862" s="117">
        <f>SUBTOTAL(109,school199900[Accounts Payable
Balance])</f>
        <v>2918565</v>
      </c>
      <c r="I862" s="117">
        <f>SUBTOTAL(109,school199900[Established
Accounts Receivable])</f>
        <v>7805759</v>
      </c>
      <c r="J862" s="117">
        <f>SUBTOTAL(109,school199900[Less: 
Recovered 
Amount])</f>
        <v>7767455</v>
      </c>
      <c r="K862" s="117">
        <f>SUBTOTAL(109,school199900[Accounts Receivable
Balance])</f>
        <v>38304</v>
      </c>
      <c r="L862" s="117">
        <f>SUBTOTAL(109,school199900[Net
Balance])</f>
        <v>2880261</v>
      </c>
    </row>
    <row r="863" spans="1:12" x14ac:dyDescent="0.2">
      <c r="A863" s="169" t="s">
        <v>463</v>
      </c>
      <c r="B863" s="198"/>
      <c r="C863" s="37"/>
      <c r="D863" s="103"/>
      <c r="E863" s="122"/>
      <c r="F863" s="122"/>
      <c r="G863" s="122"/>
      <c r="H863" s="122"/>
      <c r="I863" s="122"/>
      <c r="J863" s="122"/>
      <c r="K863" s="122"/>
      <c r="L863" s="122"/>
    </row>
    <row r="864" spans="1:12" ht="50.1" customHeight="1" x14ac:dyDescent="0.2">
      <c r="A864" s="40" t="s">
        <v>1</v>
      </c>
      <c r="B864" s="40" t="s">
        <v>15</v>
      </c>
      <c r="C864" s="40" t="s">
        <v>16</v>
      </c>
      <c r="D864" s="40" t="s">
        <v>454</v>
      </c>
      <c r="E864" s="230" t="s">
        <v>3</v>
      </c>
      <c r="F864" s="231" t="s">
        <v>592</v>
      </c>
      <c r="G864" s="232" t="s">
        <v>462</v>
      </c>
      <c r="H864" s="230" t="s">
        <v>461</v>
      </c>
      <c r="I864" s="197" t="s">
        <v>460</v>
      </c>
      <c r="J864" s="230" t="s">
        <v>459</v>
      </c>
      <c r="K864" s="230" t="s">
        <v>458</v>
      </c>
      <c r="L864" s="230" t="s">
        <v>17</v>
      </c>
    </row>
    <row r="865" spans="1:12" s="229" customFormat="1" ht="30" customHeight="1" x14ac:dyDescent="0.2">
      <c r="A865" s="103" t="s">
        <v>148</v>
      </c>
      <c r="B865" s="198" t="s">
        <v>300</v>
      </c>
      <c r="C865" s="37" t="s">
        <v>296</v>
      </c>
      <c r="D865" s="103">
        <v>348</v>
      </c>
      <c r="E865" s="122">
        <v>33439820</v>
      </c>
      <c r="F865" s="122">
        <v>31066839</v>
      </c>
      <c r="G865" s="227" t="s">
        <v>457</v>
      </c>
      <c r="H865" s="122">
        <v>2372981</v>
      </c>
      <c r="I865" s="199">
        <v>0</v>
      </c>
      <c r="J865" s="199">
        <v>0</v>
      </c>
      <c r="K865" s="199">
        <v>0</v>
      </c>
      <c r="L865" s="122">
        <v>2372981</v>
      </c>
    </row>
    <row r="866" spans="1:12" ht="30" customHeight="1" x14ac:dyDescent="0.2">
      <c r="A866" s="103" t="s">
        <v>148</v>
      </c>
      <c r="B866" s="198" t="s">
        <v>195</v>
      </c>
      <c r="C866" s="37" t="s">
        <v>196</v>
      </c>
      <c r="D866" s="103">
        <v>11</v>
      </c>
      <c r="E866" s="122">
        <v>44841220</v>
      </c>
      <c r="F866" s="122">
        <v>44841220</v>
      </c>
      <c r="G866" s="227" t="s">
        <v>457</v>
      </c>
      <c r="H866" s="199">
        <v>0</v>
      </c>
      <c r="I866" s="122">
        <v>4763751</v>
      </c>
      <c r="J866" s="122">
        <v>4753555</v>
      </c>
      <c r="K866" s="122">
        <v>10196</v>
      </c>
      <c r="L866" s="122">
        <v>-10196</v>
      </c>
    </row>
    <row r="867" spans="1:12" ht="15" customHeight="1" x14ac:dyDescent="0.2">
      <c r="A867" s="103" t="s">
        <v>148</v>
      </c>
      <c r="B867" s="198" t="s">
        <v>344</v>
      </c>
      <c r="C867" s="37" t="s">
        <v>239</v>
      </c>
      <c r="D867" s="103">
        <v>295</v>
      </c>
      <c r="E867" s="122">
        <v>113120944</v>
      </c>
      <c r="F867" s="122">
        <v>113117899</v>
      </c>
      <c r="G867" s="227" t="s">
        <v>457</v>
      </c>
      <c r="H867" s="122">
        <v>3045</v>
      </c>
      <c r="I867" s="199">
        <v>0</v>
      </c>
      <c r="J867" s="199">
        <v>0</v>
      </c>
      <c r="K867" s="199">
        <v>0</v>
      </c>
      <c r="L867" s="122">
        <v>3045</v>
      </c>
    </row>
    <row r="868" spans="1:12" ht="15" customHeight="1" x14ac:dyDescent="0.2">
      <c r="A868" s="103" t="s">
        <v>148</v>
      </c>
      <c r="B868" s="198" t="s">
        <v>82</v>
      </c>
      <c r="C868" s="37" t="s">
        <v>83</v>
      </c>
      <c r="D868" s="103">
        <v>42</v>
      </c>
      <c r="E868" s="122">
        <v>11713000</v>
      </c>
      <c r="F868" s="122">
        <v>11713000</v>
      </c>
      <c r="G868" s="227" t="s">
        <v>457</v>
      </c>
      <c r="H868" s="199">
        <v>0</v>
      </c>
      <c r="I868" s="122">
        <v>1237169</v>
      </c>
      <c r="J868" s="122">
        <v>1236569</v>
      </c>
      <c r="K868" s="122">
        <v>600</v>
      </c>
      <c r="L868" s="122">
        <v>-600</v>
      </c>
    </row>
    <row r="869" spans="1:12" ht="15" customHeight="1" x14ac:dyDescent="0.2">
      <c r="A869" s="103" t="s">
        <v>148</v>
      </c>
      <c r="B869" s="198" t="s">
        <v>270</v>
      </c>
      <c r="C869" s="37" t="s">
        <v>256</v>
      </c>
      <c r="D869" s="103">
        <v>244</v>
      </c>
      <c r="E869" s="122">
        <v>860408</v>
      </c>
      <c r="F869" s="122">
        <v>860408</v>
      </c>
      <c r="G869" s="227" t="s">
        <v>457</v>
      </c>
      <c r="H869" s="199">
        <v>0</v>
      </c>
      <c r="I869" s="122">
        <v>3186168</v>
      </c>
      <c r="J869" s="122">
        <v>1861377</v>
      </c>
      <c r="K869" s="122">
        <v>1324791</v>
      </c>
      <c r="L869" s="122">
        <v>-1324791</v>
      </c>
    </row>
    <row r="870" spans="1:12" ht="15" customHeight="1" x14ac:dyDescent="0.2">
      <c r="A870" s="103" t="s">
        <v>148</v>
      </c>
      <c r="B870" s="198" t="s">
        <v>253</v>
      </c>
      <c r="C870" s="37" t="s">
        <v>254</v>
      </c>
      <c r="D870" s="103">
        <v>171</v>
      </c>
      <c r="E870" s="122">
        <v>2804864</v>
      </c>
      <c r="F870" s="122">
        <v>2804864</v>
      </c>
      <c r="G870" s="227" t="s">
        <v>457</v>
      </c>
      <c r="H870" s="199">
        <v>0</v>
      </c>
      <c r="I870" s="122">
        <v>484721</v>
      </c>
      <c r="J870" s="122">
        <v>484421</v>
      </c>
      <c r="K870" s="122">
        <v>300</v>
      </c>
      <c r="L870" s="122">
        <v>-300</v>
      </c>
    </row>
    <row r="871" spans="1:12" ht="15" customHeight="1" x14ac:dyDescent="0.2">
      <c r="A871" s="206" t="s">
        <v>395</v>
      </c>
      <c r="B871" s="228" t="s">
        <v>457</v>
      </c>
      <c r="C871" s="228" t="s">
        <v>457</v>
      </c>
      <c r="D871" s="228" t="s">
        <v>457</v>
      </c>
      <c r="E871" s="117">
        <f>SUBTOTAL(109,school199899[Program
Costs])</f>
        <v>206780256</v>
      </c>
      <c r="F871" s="117">
        <f>SUBTOTAL(109,school199899[Less: Net
 Payments and 
Offsets 2])</f>
        <v>204404230</v>
      </c>
      <c r="G871" s="228" t="s">
        <v>457</v>
      </c>
      <c r="H871" s="117">
        <f>SUBTOTAL(109,school199899[Accounts Payable
Balance])</f>
        <v>2376026</v>
      </c>
      <c r="I871" s="117">
        <f>SUBTOTAL(109,school199899[Established
Accounts Receivable])</f>
        <v>9671809</v>
      </c>
      <c r="J871" s="117">
        <f>SUBTOTAL(109,school199899[Less: 
Recovered 
Amount])</f>
        <v>8335922</v>
      </c>
      <c r="K871" s="117">
        <f>SUBTOTAL(109,school199899[Accounts Receivable
Balance])</f>
        <v>1335887</v>
      </c>
      <c r="L871" s="117">
        <f>SUBTOTAL(109,school199899[Net
Balance])</f>
        <v>1040139</v>
      </c>
    </row>
    <row r="872" spans="1:12" x14ac:dyDescent="0.2">
      <c r="A872" s="169" t="s">
        <v>463</v>
      </c>
      <c r="B872" s="198"/>
      <c r="C872" s="37"/>
      <c r="D872" s="103"/>
      <c r="E872" s="122"/>
      <c r="F872" s="122"/>
      <c r="G872" s="122"/>
      <c r="H872" s="122"/>
      <c r="I872" s="122"/>
      <c r="J872" s="122"/>
      <c r="K872" s="122"/>
      <c r="L872" s="122"/>
    </row>
    <row r="873" spans="1:12" ht="50.1" customHeight="1" x14ac:dyDescent="0.2">
      <c r="A873" s="40" t="s">
        <v>1</v>
      </c>
      <c r="B873" s="40" t="s">
        <v>15</v>
      </c>
      <c r="C873" s="40" t="s">
        <v>16</v>
      </c>
      <c r="D873" s="40" t="s">
        <v>454</v>
      </c>
      <c r="E873" s="230" t="s">
        <v>3</v>
      </c>
      <c r="F873" s="231" t="s">
        <v>592</v>
      </c>
      <c r="G873" s="232" t="s">
        <v>462</v>
      </c>
      <c r="H873" s="230" t="s">
        <v>461</v>
      </c>
      <c r="I873" s="197" t="s">
        <v>460</v>
      </c>
      <c r="J873" s="230" t="s">
        <v>459</v>
      </c>
      <c r="K873" s="230" t="s">
        <v>458</v>
      </c>
      <c r="L873" s="230" t="s">
        <v>17</v>
      </c>
    </row>
    <row r="874" spans="1:12" ht="30" customHeight="1" x14ac:dyDescent="0.2">
      <c r="A874" s="103" t="s">
        <v>152</v>
      </c>
      <c r="B874" s="198" t="s">
        <v>300</v>
      </c>
      <c r="C874" s="37" t="s">
        <v>296</v>
      </c>
      <c r="D874" s="103">
        <v>348</v>
      </c>
      <c r="E874" s="122">
        <v>32997398</v>
      </c>
      <c r="F874" s="122">
        <v>30671594</v>
      </c>
      <c r="G874" s="227" t="s">
        <v>457</v>
      </c>
      <c r="H874" s="122">
        <v>2325804</v>
      </c>
      <c r="I874" s="199">
        <v>0</v>
      </c>
      <c r="J874" s="199">
        <v>0</v>
      </c>
      <c r="K874" s="199">
        <v>0</v>
      </c>
      <c r="L874" s="122">
        <v>2325804</v>
      </c>
    </row>
    <row r="875" spans="1:12" s="229" customFormat="1" ht="30" customHeight="1" x14ac:dyDescent="0.2">
      <c r="A875" s="103" t="s">
        <v>152</v>
      </c>
      <c r="B875" s="198" t="s">
        <v>195</v>
      </c>
      <c r="C875" s="37" t="s">
        <v>196</v>
      </c>
      <c r="D875" s="103">
        <v>11</v>
      </c>
      <c r="E875" s="122">
        <v>36462408</v>
      </c>
      <c r="F875" s="122">
        <v>36462408</v>
      </c>
      <c r="G875" s="227" t="s">
        <v>457</v>
      </c>
      <c r="H875" s="199">
        <v>0</v>
      </c>
      <c r="I875" s="122">
        <v>6956351</v>
      </c>
      <c r="J875" s="122">
        <v>6947061</v>
      </c>
      <c r="K875" s="122">
        <v>9290</v>
      </c>
      <c r="L875" s="122">
        <v>-9290</v>
      </c>
    </row>
    <row r="876" spans="1:12" ht="15" customHeight="1" x14ac:dyDescent="0.2">
      <c r="A876" s="103" t="s">
        <v>152</v>
      </c>
      <c r="B876" s="198" t="s">
        <v>348</v>
      </c>
      <c r="C876" s="37" t="s">
        <v>338</v>
      </c>
      <c r="D876" s="103">
        <v>75</v>
      </c>
      <c r="E876" s="122">
        <v>21038713</v>
      </c>
      <c r="F876" s="122">
        <v>21038713</v>
      </c>
      <c r="G876" s="227" t="s">
        <v>457</v>
      </c>
      <c r="H876" s="199">
        <v>0</v>
      </c>
      <c r="I876" s="122">
        <v>1479796</v>
      </c>
      <c r="J876" s="122">
        <v>1479331</v>
      </c>
      <c r="K876" s="122">
        <v>465</v>
      </c>
      <c r="L876" s="122">
        <v>-465</v>
      </c>
    </row>
    <row r="877" spans="1:12" ht="15" customHeight="1" x14ac:dyDescent="0.2">
      <c r="A877" s="103" t="s">
        <v>152</v>
      </c>
      <c r="B877" s="198" t="s">
        <v>284</v>
      </c>
      <c r="C877" s="37" t="s">
        <v>285</v>
      </c>
      <c r="D877" s="103">
        <v>148</v>
      </c>
      <c r="E877" s="122">
        <v>1779879</v>
      </c>
      <c r="F877" s="122">
        <v>1779879</v>
      </c>
      <c r="G877" s="227" t="s">
        <v>457</v>
      </c>
      <c r="H877" s="199">
        <v>0</v>
      </c>
      <c r="I877" s="122">
        <v>249145</v>
      </c>
      <c r="J877" s="122">
        <v>248887</v>
      </c>
      <c r="K877" s="122">
        <v>258</v>
      </c>
      <c r="L877" s="122">
        <v>-258</v>
      </c>
    </row>
    <row r="878" spans="1:12" ht="15" customHeight="1" x14ac:dyDescent="0.2">
      <c r="A878" s="103" t="s">
        <v>152</v>
      </c>
      <c r="B878" s="198" t="s">
        <v>359</v>
      </c>
      <c r="C878" s="37" t="s">
        <v>285</v>
      </c>
      <c r="D878" s="103">
        <v>149</v>
      </c>
      <c r="E878" s="122">
        <v>1091525</v>
      </c>
      <c r="F878" s="122">
        <v>1091525</v>
      </c>
      <c r="G878" s="227" t="s">
        <v>457</v>
      </c>
      <c r="H878" s="199">
        <v>0</v>
      </c>
      <c r="I878" s="122">
        <v>437671</v>
      </c>
      <c r="J878" s="122">
        <v>436936</v>
      </c>
      <c r="K878" s="122">
        <v>735</v>
      </c>
      <c r="L878" s="122">
        <v>-735</v>
      </c>
    </row>
    <row r="879" spans="1:12" ht="15" customHeight="1" x14ac:dyDescent="0.2">
      <c r="A879" s="103" t="s">
        <v>152</v>
      </c>
      <c r="B879" s="198" t="s">
        <v>149</v>
      </c>
      <c r="C879" s="37" t="s">
        <v>72</v>
      </c>
      <c r="D879" s="103">
        <v>92</v>
      </c>
      <c r="E879" s="122">
        <v>3396990</v>
      </c>
      <c r="F879" s="122">
        <v>3396990</v>
      </c>
      <c r="G879" s="227" t="s">
        <v>457</v>
      </c>
      <c r="H879" s="199">
        <v>0</v>
      </c>
      <c r="I879" s="122">
        <v>223087</v>
      </c>
      <c r="J879" s="122">
        <v>220400</v>
      </c>
      <c r="K879" s="122">
        <v>2687</v>
      </c>
      <c r="L879" s="122">
        <v>-2687</v>
      </c>
    </row>
    <row r="880" spans="1:12" ht="15" customHeight="1" x14ac:dyDescent="0.2">
      <c r="A880" s="206" t="s">
        <v>396</v>
      </c>
      <c r="B880" s="228" t="s">
        <v>457</v>
      </c>
      <c r="C880" s="228" t="s">
        <v>457</v>
      </c>
      <c r="D880" s="228" t="s">
        <v>457</v>
      </c>
      <c r="E880" s="117">
        <f>SUBTOTAL(109,school199798[Program
Costs])</f>
        <v>96766913</v>
      </c>
      <c r="F880" s="117">
        <f>SUBTOTAL(109,school199798[Less: Net
 Payments and 
Offsets 2])</f>
        <v>94441109</v>
      </c>
      <c r="G880" s="228" t="s">
        <v>457</v>
      </c>
      <c r="H880" s="117">
        <f>SUBTOTAL(109,school199798[Accounts Payable
Balance])</f>
        <v>2325804</v>
      </c>
      <c r="I880" s="117">
        <f>SUBTOTAL(109,school199798[Established
Accounts Receivable])</f>
        <v>9346050</v>
      </c>
      <c r="J880" s="117">
        <f>SUBTOTAL(109,school199798[Less: 
Recovered 
Amount])</f>
        <v>9332615</v>
      </c>
      <c r="K880" s="117">
        <f>SUBTOTAL(109,school199798[Accounts Receivable
Balance])</f>
        <v>13435</v>
      </c>
      <c r="L880" s="117">
        <f>SUBTOTAL(109,school199798[Net
Balance])</f>
        <v>2312369</v>
      </c>
    </row>
    <row r="881" spans="1:12" s="229" customFormat="1" ht="15.75" customHeight="1" x14ac:dyDescent="0.2">
      <c r="A881" s="169" t="s">
        <v>463</v>
      </c>
      <c r="B881" s="198"/>
      <c r="C881" s="37"/>
      <c r="D881" s="103"/>
      <c r="E881" s="122"/>
      <c r="F881" s="122"/>
      <c r="G881" s="122"/>
      <c r="H881" s="122"/>
      <c r="I881" s="122"/>
      <c r="J881" s="122"/>
      <c r="K881" s="122"/>
      <c r="L881" s="122"/>
    </row>
    <row r="882" spans="1:12" ht="50.1" customHeight="1" x14ac:dyDescent="0.2">
      <c r="A882" s="40" t="s">
        <v>1</v>
      </c>
      <c r="B882" s="40" t="s">
        <v>15</v>
      </c>
      <c r="C882" s="40" t="s">
        <v>16</v>
      </c>
      <c r="D882" s="40" t="s">
        <v>454</v>
      </c>
      <c r="E882" s="230" t="s">
        <v>3</v>
      </c>
      <c r="F882" s="231" t="s">
        <v>592</v>
      </c>
      <c r="G882" s="232" t="s">
        <v>462</v>
      </c>
      <c r="H882" s="230" t="s">
        <v>461</v>
      </c>
      <c r="I882" s="197" t="s">
        <v>460</v>
      </c>
      <c r="J882" s="230" t="s">
        <v>459</v>
      </c>
      <c r="K882" s="230" t="s">
        <v>458</v>
      </c>
      <c r="L882" s="230" t="s">
        <v>17</v>
      </c>
    </row>
    <row r="883" spans="1:12" ht="30" customHeight="1" x14ac:dyDescent="0.2">
      <c r="A883" s="103" t="s">
        <v>153</v>
      </c>
      <c r="B883" s="198" t="s">
        <v>300</v>
      </c>
      <c r="C883" s="37" t="s">
        <v>296</v>
      </c>
      <c r="D883" s="103">
        <v>348</v>
      </c>
      <c r="E883" s="122">
        <v>31728592</v>
      </c>
      <c r="F883" s="122">
        <v>29479003</v>
      </c>
      <c r="G883" s="227" t="s">
        <v>457</v>
      </c>
      <c r="H883" s="122">
        <v>2249589</v>
      </c>
      <c r="I883" s="199">
        <v>0</v>
      </c>
      <c r="J883" s="199">
        <v>0</v>
      </c>
      <c r="K883" s="199">
        <v>0</v>
      </c>
      <c r="L883" s="122">
        <v>2249589</v>
      </c>
    </row>
    <row r="884" spans="1:12" ht="30" customHeight="1" x14ac:dyDescent="0.2">
      <c r="A884" s="103" t="s">
        <v>153</v>
      </c>
      <c r="B884" s="198" t="s">
        <v>195</v>
      </c>
      <c r="C884" s="37" t="s">
        <v>196</v>
      </c>
      <c r="D884" s="103">
        <v>11</v>
      </c>
      <c r="E884" s="122">
        <v>35731370</v>
      </c>
      <c r="F884" s="122">
        <v>35731370</v>
      </c>
      <c r="G884" s="227" t="s">
        <v>457</v>
      </c>
      <c r="H884" s="199">
        <v>0</v>
      </c>
      <c r="I884" s="122">
        <v>8222200</v>
      </c>
      <c r="J884" s="122">
        <v>8207235</v>
      </c>
      <c r="K884" s="122">
        <v>14965</v>
      </c>
      <c r="L884" s="122">
        <v>-14965</v>
      </c>
    </row>
    <row r="885" spans="1:12" ht="15" customHeight="1" x14ac:dyDescent="0.2">
      <c r="A885" s="103" t="s">
        <v>153</v>
      </c>
      <c r="B885" s="198" t="s">
        <v>149</v>
      </c>
      <c r="C885" s="37" t="s">
        <v>72</v>
      </c>
      <c r="D885" s="103">
        <v>92</v>
      </c>
      <c r="E885" s="122">
        <v>2713598</v>
      </c>
      <c r="F885" s="122">
        <v>2713598</v>
      </c>
      <c r="G885" s="227" t="s">
        <v>457</v>
      </c>
      <c r="H885" s="199">
        <v>0</v>
      </c>
      <c r="I885" s="122">
        <v>217201</v>
      </c>
      <c r="J885" s="122">
        <v>217050</v>
      </c>
      <c r="K885" s="122">
        <v>151</v>
      </c>
      <c r="L885" s="122">
        <v>-151</v>
      </c>
    </row>
    <row r="886" spans="1:12" ht="15" customHeight="1" x14ac:dyDescent="0.2">
      <c r="A886" s="103" t="s">
        <v>153</v>
      </c>
      <c r="B886" s="198" t="s">
        <v>350</v>
      </c>
      <c r="C886" s="37" t="s">
        <v>351</v>
      </c>
      <c r="D886" s="103">
        <v>156</v>
      </c>
      <c r="E886" s="122">
        <v>5772216</v>
      </c>
      <c r="F886" s="122">
        <v>5772216</v>
      </c>
      <c r="G886" s="227" t="s">
        <v>457</v>
      </c>
      <c r="H886" s="199">
        <v>0</v>
      </c>
      <c r="I886" s="122">
        <v>136699</v>
      </c>
      <c r="J886" s="122">
        <v>136651</v>
      </c>
      <c r="K886" s="122">
        <v>48</v>
      </c>
      <c r="L886" s="122">
        <v>-48</v>
      </c>
    </row>
    <row r="887" spans="1:12" s="229" customFormat="1" ht="15" customHeight="1" x14ac:dyDescent="0.2">
      <c r="A887" s="103" t="s">
        <v>153</v>
      </c>
      <c r="B887" s="198" t="s">
        <v>312</v>
      </c>
      <c r="C887" s="37" t="s">
        <v>313</v>
      </c>
      <c r="D887" s="103">
        <v>58</v>
      </c>
      <c r="E887" s="122">
        <v>2051761</v>
      </c>
      <c r="F887" s="122">
        <v>2051761</v>
      </c>
      <c r="G887" s="227" t="s">
        <v>457</v>
      </c>
      <c r="H887" s="199">
        <v>0</v>
      </c>
      <c r="I887" s="122">
        <v>64789</v>
      </c>
      <c r="J887" s="122">
        <v>64485</v>
      </c>
      <c r="K887" s="122">
        <v>304</v>
      </c>
      <c r="L887" s="122">
        <v>-304</v>
      </c>
    </row>
    <row r="888" spans="1:12" ht="15" customHeight="1" x14ac:dyDescent="0.2">
      <c r="A888" s="206" t="s">
        <v>397</v>
      </c>
      <c r="B888" s="228" t="s">
        <v>457</v>
      </c>
      <c r="C888" s="228" t="s">
        <v>457</v>
      </c>
      <c r="D888" s="228" t="s">
        <v>457</v>
      </c>
      <c r="E888" s="117">
        <f>SUBTOTAL(109,school199697[Program
Costs])</f>
        <v>77997537</v>
      </c>
      <c r="F888" s="117">
        <f>SUBTOTAL(109,school199697[Less: Net
 Payments and 
Offsets 2])</f>
        <v>75747948</v>
      </c>
      <c r="G888" s="228" t="s">
        <v>457</v>
      </c>
      <c r="H888" s="117">
        <f>SUBTOTAL(109,school199697[Accounts Payable
Balance])</f>
        <v>2249589</v>
      </c>
      <c r="I888" s="117">
        <f>SUBTOTAL(109,school199697[Established
Accounts Receivable])</f>
        <v>8640889</v>
      </c>
      <c r="J888" s="117">
        <f>SUBTOTAL(109,school199697[Less: 
Recovered 
Amount])</f>
        <v>8625421</v>
      </c>
      <c r="K888" s="117">
        <f>SUBTOTAL(109,school199697[Accounts Receivable
Balance])</f>
        <v>15468</v>
      </c>
      <c r="L888" s="117">
        <f>SUBTOTAL(109,school199697[Net
Balance])</f>
        <v>2234121</v>
      </c>
    </row>
    <row r="889" spans="1:12" ht="15.75" customHeight="1" x14ac:dyDescent="0.2">
      <c r="A889" s="169" t="s">
        <v>463</v>
      </c>
      <c r="B889" s="198"/>
      <c r="C889" s="37"/>
      <c r="D889" s="103"/>
      <c r="E889" s="122"/>
      <c r="F889" s="122"/>
      <c r="G889" s="122"/>
      <c r="H889" s="122"/>
      <c r="I889" s="122"/>
      <c r="J889" s="122"/>
      <c r="K889" s="122"/>
      <c r="L889" s="122"/>
    </row>
    <row r="890" spans="1:12" ht="50.1" customHeight="1" x14ac:dyDescent="0.2">
      <c r="A890" s="40" t="s">
        <v>1</v>
      </c>
      <c r="B890" s="40" t="s">
        <v>15</v>
      </c>
      <c r="C890" s="40" t="s">
        <v>16</v>
      </c>
      <c r="D890" s="40" t="s">
        <v>454</v>
      </c>
      <c r="E890" s="230" t="s">
        <v>3</v>
      </c>
      <c r="F890" s="231" t="s">
        <v>592</v>
      </c>
      <c r="G890" s="232" t="s">
        <v>462</v>
      </c>
      <c r="H890" s="230" t="s">
        <v>461</v>
      </c>
      <c r="I890" s="197" t="s">
        <v>460</v>
      </c>
      <c r="J890" s="230" t="s">
        <v>459</v>
      </c>
      <c r="K890" s="230" t="s">
        <v>458</v>
      </c>
      <c r="L890" s="230" t="s">
        <v>17</v>
      </c>
    </row>
    <row r="891" spans="1:12" ht="15" customHeight="1" x14ac:dyDescent="0.2">
      <c r="A891" s="103" t="s">
        <v>154</v>
      </c>
      <c r="B891" s="198" t="s">
        <v>346</v>
      </c>
      <c r="C891" s="37" t="s">
        <v>218</v>
      </c>
      <c r="D891" s="103">
        <v>123</v>
      </c>
      <c r="E891" s="122">
        <v>2063016</v>
      </c>
      <c r="F891" s="122">
        <v>2063016</v>
      </c>
      <c r="G891" s="227" t="s">
        <v>457</v>
      </c>
      <c r="H891" s="199">
        <v>0</v>
      </c>
      <c r="I891" s="122">
        <v>691837</v>
      </c>
      <c r="J891" s="122">
        <v>691774</v>
      </c>
      <c r="K891" s="122">
        <v>63</v>
      </c>
      <c r="L891" s="122">
        <v>-63</v>
      </c>
    </row>
    <row r="892" spans="1:12" s="229" customFormat="1" ht="30" customHeight="1" x14ac:dyDescent="0.2">
      <c r="A892" s="103" t="s">
        <v>154</v>
      </c>
      <c r="B892" s="198" t="s">
        <v>300</v>
      </c>
      <c r="C892" s="37" t="s">
        <v>296</v>
      </c>
      <c r="D892" s="103">
        <v>348</v>
      </c>
      <c r="E892" s="122">
        <v>30064772</v>
      </c>
      <c r="F892" s="122">
        <v>27948374</v>
      </c>
      <c r="G892" s="227" t="s">
        <v>457</v>
      </c>
      <c r="H892" s="122">
        <v>2116398</v>
      </c>
      <c r="I892" s="199">
        <v>0</v>
      </c>
      <c r="J892" s="199">
        <v>0</v>
      </c>
      <c r="K892" s="199">
        <v>0</v>
      </c>
      <c r="L892" s="122">
        <v>2116398</v>
      </c>
    </row>
    <row r="893" spans="1:12" ht="30" customHeight="1" x14ac:dyDescent="0.2">
      <c r="A893" s="103" t="s">
        <v>154</v>
      </c>
      <c r="B893" s="198" t="s">
        <v>195</v>
      </c>
      <c r="C893" s="37" t="s">
        <v>196</v>
      </c>
      <c r="D893" s="103">
        <v>11</v>
      </c>
      <c r="E893" s="122">
        <v>31593705</v>
      </c>
      <c r="F893" s="122">
        <v>31593705</v>
      </c>
      <c r="G893" s="227" t="s">
        <v>457</v>
      </c>
      <c r="H893" s="199">
        <v>0</v>
      </c>
      <c r="I893" s="122">
        <v>9201086</v>
      </c>
      <c r="J893" s="122">
        <v>9191407</v>
      </c>
      <c r="K893" s="122">
        <v>9679</v>
      </c>
      <c r="L893" s="122">
        <v>-9679</v>
      </c>
    </row>
    <row r="894" spans="1:12" ht="15" customHeight="1" x14ac:dyDescent="0.2">
      <c r="A894" s="103" t="s">
        <v>154</v>
      </c>
      <c r="B894" s="198" t="s">
        <v>360</v>
      </c>
      <c r="C894" s="37" t="s">
        <v>361</v>
      </c>
      <c r="D894" s="103">
        <v>79</v>
      </c>
      <c r="E894" s="122">
        <v>2929406</v>
      </c>
      <c r="F894" s="122">
        <v>2929406</v>
      </c>
      <c r="G894" s="227" t="s">
        <v>457</v>
      </c>
      <c r="H894" s="199">
        <v>0</v>
      </c>
      <c r="I894" s="122">
        <v>60858</v>
      </c>
      <c r="J894" s="122">
        <v>60790</v>
      </c>
      <c r="K894" s="122">
        <v>68</v>
      </c>
      <c r="L894" s="122">
        <v>-68</v>
      </c>
    </row>
    <row r="895" spans="1:12" ht="15" customHeight="1" x14ac:dyDescent="0.2">
      <c r="A895" s="103" t="s">
        <v>154</v>
      </c>
      <c r="B895" s="198" t="s">
        <v>348</v>
      </c>
      <c r="C895" s="37" t="s">
        <v>338</v>
      </c>
      <c r="D895" s="103">
        <v>75</v>
      </c>
      <c r="E895" s="122">
        <v>7354211</v>
      </c>
      <c r="F895" s="122">
        <v>7354211</v>
      </c>
      <c r="G895" s="227" t="s">
        <v>457</v>
      </c>
      <c r="H895" s="199">
        <v>0</v>
      </c>
      <c r="I895" s="122">
        <v>62469</v>
      </c>
      <c r="J895" s="122">
        <v>62179</v>
      </c>
      <c r="K895" s="122">
        <v>290</v>
      </c>
      <c r="L895" s="122">
        <v>-290</v>
      </c>
    </row>
    <row r="896" spans="1:12" s="229" customFormat="1" ht="15" customHeight="1" x14ac:dyDescent="0.2">
      <c r="A896" s="103" t="s">
        <v>154</v>
      </c>
      <c r="B896" s="198" t="s">
        <v>149</v>
      </c>
      <c r="C896" s="37" t="s">
        <v>72</v>
      </c>
      <c r="D896" s="103">
        <v>92</v>
      </c>
      <c r="E896" s="122">
        <v>1774560</v>
      </c>
      <c r="F896" s="122">
        <v>1774560</v>
      </c>
      <c r="G896" s="227" t="s">
        <v>457</v>
      </c>
      <c r="H896" s="199">
        <v>0</v>
      </c>
      <c r="I896" s="122">
        <v>208523</v>
      </c>
      <c r="J896" s="122">
        <v>208225</v>
      </c>
      <c r="K896" s="122">
        <v>298</v>
      </c>
      <c r="L896" s="122">
        <v>-298</v>
      </c>
    </row>
    <row r="897" spans="1:12" ht="15" customHeight="1" x14ac:dyDescent="0.2">
      <c r="A897" s="103" t="s">
        <v>154</v>
      </c>
      <c r="B897" s="198" t="s">
        <v>350</v>
      </c>
      <c r="C897" s="37" t="s">
        <v>351</v>
      </c>
      <c r="D897" s="103">
        <v>156</v>
      </c>
      <c r="E897" s="122">
        <v>4726009</v>
      </c>
      <c r="F897" s="122">
        <v>4726009</v>
      </c>
      <c r="G897" s="227" t="s">
        <v>457</v>
      </c>
      <c r="H897" s="199">
        <v>0</v>
      </c>
      <c r="I897" s="122">
        <v>86368</v>
      </c>
      <c r="J897" s="122">
        <v>86324</v>
      </c>
      <c r="K897" s="122">
        <v>44</v>
      </c>
      <c r="L897" s="122">
        <v>-44</v>
      </c>
    </row>
    <row r="898" spans="1:12" ht="15" customHeight="1" x14ac:dyDescent="0.2">
      <c r="A898" s="103" t="s">
        <v>154</v>
      </c>
      <c r="B898" s="198" t="s">
        <v>362</v>
      </c>
      <c r="C898" s="37" t="s">
        <v>363</v>
      </c>
      <c r="D898" s="103">
        <v>115</v>
      </c>
      <c r="E898" s="122">
        <v>562926</v>
      </c>
      <c r="F898" s="122">
        <v>562926</v>
      </c>
      <c r="G898" s="227" t="s">
        <v>457</v>
      </c>
      <c r="H898" s="199">
        <v>0</v>
      </c>
      <c r="I898" s="122">
        <v>219834</v>
      </c>
      <c r="J898" s="122">
        <v>219565</v>
      </c>
      <c r="K898" s="122">
        <v>269</v>
      </c>
      <c r="L898" s="122">
        <v>-269</v>
      </c>
    </row>
    <row r="899" spans="1:12" ht="15" customHeight="1" x14ac:dyDescent="0.2">
      <c r="A899" s="206" t="s">
        <v>398</v>
      </c>
      <c r="B899" s="228" t="s">
        <v>457</v>
      </c>
      <c r="C899" s="228" t="s">
        <v>457</v>
      </c>
      <c r="D899" s="228" t="s">
        <v>457</v>
      </c>
      <c r="E899" s="117">
        <f>SUBTOTAL(109,school199596[Program
Costs])</f>
        <v>81068605</v>
      </c>
      <c r="F899" s="117">
        <f>SUBTOTAL(109,school199596[Less: Net
 Payments and 
Offsets 2])</f>
        <v>78952207</v>
      </c>
      <c r="G899" s="228" t="s">
        <v>457</v>
      </c>
      <c r="H899" s="117">
        <f>SUBTOTAL(109,school199596[Accounts Payable
Balance])</f>
        <v>2116398</v>
      </c>
      <c r="I899" s="117">
        <f>SUBTOTAL(109,school199596[Established
Accounts Receivable])</f>
        <v>10530975</v>
      </c>
      <c r="J899" s="117">
        <f>SUBTOTAL(109,school199596[Less: 
Recovered 
Amount])</f>
        <v>10520264</v>
      </c>
      <c r="K899" s="117">
        <f>SUBTOTAL(109,school199596[Accounts Receivable
Balance])</f>
        <v>10711</v>
      </c>
      <c r="L899" s="117">
        <f>SUBTOTAL(109,school199596[Net
Balance])</f>
        <v>2105687</v>
      </c>
    </row>
    <row r="900" spans="1:12" s="229" customFormat="1" ht="15.75" customHeight="1" x14ac:dyDescent="0.2">
      <c r="A900" s="169" t="s">
        <v>463</v>
      </c>
      <c r="B900" s="198"/>
      <c r="C900" s="37"/>
      <c r="D900" s="103"/>
      <c r="E900" s="122"/>
      <c r="F900" s="122"/>
      <c r="G900" s="122"/>
      <c r="H900" s="122"/>
      <c r="I900" s="122"/>
      <c r="J900" s="122"/>
      <c r="K900" s="122"/>
      <c r="L900" s="122"/>
    </row>
    <row r="901" spans="1:12" ht="50.1" customHeight="1" x14ac:dyDescent="0.2">
      <c r="A901" s="40" t="s">
        <v>1</v>
      </c>
      <c r="B901" s="40" t="s">
        <v>15</v>
      </c>
      <c r="C901" s="40" t="s">
        <v>16</v>
      </c>
      <c r="D901" s="40" t="s">
        <v>454</v>
      </c>
      <c r="E901" s="230" t="s">
        <v>3</v>
      </c>
      <c r="F901" s="231" t="s">
        <v>592</v>
      </c>
      <c r="G901" s="232" t="s">
        <v>462</v>
      </c>
      <c r="H901" s="230" t="s">
        <v>461</v>
      </c>
      <c r="I901" s="197" t="s">
        <v>460</v>
      </c>
      <c r="J901" s="230" t="s">
        <v>459</v>
      </c>
      <c r="K901" s="230" t="s">
        <v>458</v>
      </c>
      <c r="L901" s="230" t="s">
        <v>17</v>
      </c>
    </row>
    <row r="902" spans="1:12" ht="30" customHeight="1" x14ac:dyDescent="0.2">
      <c r="A902" s="103" t="s">
        <v>155</v>
      </c>
      <c r="B902" s="198" t="s">
        <v>300</v>
      </c>
      <c r="C902" s="37" t="s">
        <v>296</v>
      </c>
      <c r="D902" s="103">
        <v>348</v>
      </c>
      <c r="E902" s="122">
        <v>28400653</v>
      </c>
      <c r="F902" s="122">
        <v>26404035</v>
      </c>
      <c r="G902" s="227" t="s">
        <v>457</v>
      </c>
      <c r="H902" s="122">
        <v>1996618</v>
      </c>
      <c r="I902" s="199">
        <v>0</v>
      </c>
      <c r="J902" s="199">
        <v>0</v>
      </c>
      <c r="K902" s="199">
        <v>0</v>
      </c>
      <c r="L902" s="122">
        <v>1996618</v>
      </c>
    </row>
    <row r="903" spans="1:12" ht="15" customHeight="1" x14ac:dyDescent="0.2">
      <c r="A903" s="103" t="s">
        <v>155</v>
      </c>
      <c r="B903" s="198" t="s">
        <v>149</v>
      </c>
      <c r="C903" s="37" t="s">
        <v>72</v>
      </c>
      <c r="D903" s="103">
        <v>92</v>
      </c>
      <c r="E903" s="122">
        <v>1128612</v>
      </c>
      <c r="F903" s="122">
        <v>1128612</v>
      </c>
      <c r="G903" s="227" t="s">
        <v>457</v>
      </c>
      <c r="H903" s="199">
        <v>0</v>
      </c>
      <c r="I903" s="122">
        <v>2880</v>
      </c>
      <c r="J903" s="122">
        <v>2634</v>
      </c>
      <c r="K903" s="122">
        <v>246</v>
      </c>
      <c r="L903" s="122">
        <v>-246</v>
      </c>
    </row>
    <row r="904" spans="1:12" s="229" customFormat="1" ht="15" customHeight="1" x14ac:dyDescent="0.2">
      <c r="A904" s="103" t="s">
        <v>155</v>
      </c>
      <c r="B904" s="198" t="s">
        <v>331</v>
      </c>
      <c r="C904" s="37" t="s">
        <v>332</v>
      </c>
      <c r="D904" s="103">
        <v>151</v>
      </c>
      <c r="E904" s="122">
        <v>544631</v>
      </c>
      <c r="F904" s="122">
        <v>544631</v>
      </c>
      <c r="G904" s="227" t="s">
        <v>457</v>
      </c>
      <c r="H904" s="199">
        <v>0</v>
      </c>
      <c r="I904" s="122">
        <v>3055</v>
      </c>
      <c r="J904" s="122">
        <v>2643</v>
      </c>
      <c r="K904" s="122">
        <v>412</v>
      </c>
      <c r="L904" s="122">
        <v>-412</v>
      </c>
    </row>
    <row r="905" spans="1:12" ht="15" customHeight="1" x14ac:dyDescent="0.2">
      <c r="A905" s="103" t="s">
        <v>155</v>
      </c>
      <c r="B905" s="198" t="s">
        <v>350</v>
      </c>
      <c r="C905" s="37" t="s">
        <v>351</v>
      </c>
      <c r="D905" s="103">
        <v>156</v>
      </c>
      <c r="E905" s="122">
        <v>4230530</v>
      </c>
      <c r="F905" s="122">
        <v>4230530</v>
      </c>
      <c r="G905" s="227" t="s">
        <v>457</v>
      </c>
      <c r="H905" s="199">
        <v>0</v>
      </c>
      <c r="I905" s="122">
        <v>73525</v>
      </c>
      <c r="J905" s="122">
        <v>73477</v>
      </c>
      <c r="K905" s="122">
        <v>48</v>
      </c>
      <c r="L905" s="122">
        <v>-48</v>
      </c>
    </row>
    <row r="906" spans="1:12" ht="15" customHeight="1" x14ac:dyDescent="0.2">
      <c r="A906" s="206" t="s">
        <v>399</v>
      </c>
      <c r="B906" s="228" t="s">
        <v>457</v>
      </c>
      <c r="C906" s="228" t="s">
        <v>457</v>
      </c>
      <c r="D906" s="228" t="s">
        <v>457</v>
      </c>
      <c r="E906" s="117">
        <f>SUBTOTAL(109,school199495[Program
Costs])</f>
        <v>34304426</v>
      </c>
      <c r="F906" s="117">
        <f>SUBTOTAL(109,school199495[Less: Net
 Payments and 
Offsets 2])</f>
        <v>32307808</v>
      </c>
      <c r="G906" s="228" t="s">
        <v>457</v>
      </c>
      <c r="H906" s="117">
        <f>SUBTOTAL(109,school199495[Accounts Payable
Balance])</f>
        <v>1996618</v>
      </c>
      <c r="I906" s="117">
        <f>SUBTOTAL(109,school199495[Established
Accounts Receivable])</f>
        <v>79460</v>
      </c>
      <c r="J906" s="117">
        <f>SUBTOTAL(109,school199495[Less: 
Recovered 
Amount])</f>
        <v>78754</v>
      </c>
      <c r="K906" s="117">
        <f>SUBTOTAL(109,school199495[Accounts Receivable
Balance])</f>
        <v>706</v>
      </c>
      <c r="L906" s="117">
        <f>SUBTOTAL(109,school199495[Net
Balance])</f>
        <v>1995912</v>
      </c>
    </row>
    <row r="907" spans="1:12" s="229" customFormat="1" ht="15.75" customHeight="1" x14ac:dyDescent="0.2">
      <c r="A907" s="169" t="s">
        <v>463</v>
      </c>
      <c r="B907" s="198"/>
      <c r="C907" s="37"/>
      <c r="D907" s="103"/>
      <c r="E907" s="122"/>
      <c r="F907" s="122"/>
      <c r="G907" s="122"/>
      <c r="H907" s="122"/>
      <c r="I907" s="122"/>
      <c r="J907" s="122"/>
      <c r="K907" s="122"/>
      <c r="L907" s="122"/>
    </row>
    <row r="908" spans="1:12" ht="50.1" customHeight="1" x14ac:dyDescent="0.2">
      <c r="A908" s="40" t="s">
        <v>1</v>
      </c>
      <c r="B908" s="40" t="s">
        <v>15</v>
      </c>
      <c r="C908" s="40" t="s">
        <v>16</v>
      </c>
      <c r="D908" s="40" t="s">
        <v>454</v>
      </c>
      <c r="E908" s="230" t="s">
        <v>3</v>
      </c>
      <c r="F908" s="231" t="s">
        <v>592</v>
      </c>
      <c r="G908" s="232" t="s">
        <v>462</v>
      </c>
      <c r="H908" s="230" t="s">
        <v>461</v>
      </c>
      <c r="I908" s="197" t="s">
        <v>460</v>
      </c>
      <c r="J908" s="230" t="s">
        <v>459</v>
      </c>
      <c r="K908" s="230" t="s">
        <v>458</v>
      </c>
      <c r="L908" s="230" t="s">
        <v>17</v>
      </c>
    </row>
    <row r="909" spans="1:12" ht="30" customHeight="1" x14ac:dyDescent="0.2">
      <c r="A909" s="103" t="s">
        <v>364</v>
      </c>
      <c r="B909" s="198" t="s">
        <v>300</v>
      </c>
      <c r="C909" s="37" t="s">
        <v>296</v>
      </c>
      <c r="D909" s="103">
        <v>348</v>
      </c>
      <c r="E909" s="122">
        <v>27596496</v>
      </c>
      <c r="F909" s="122">
        <v>25255912</v>
      </c>
      <c r="G909" s="227" t="s">
        <v>457</v>
      </c>
      <c r="H909" s="122">
        <v>2340584</v>
      </c>
      <c r="I909" s="199">
        <v>0</v>
      </c>
      <c r="J909" s="199">
        <v>0</v>
      </c>
      <c r="K909" s="199">
        <v>0</v>
      </c>
      <c r="L909" s="122">
        <v>2340584</v>
      </c>
    </row>
    <row r="910" spans="1:12" s="229" customFormat="1" ht="30" customHeight="1" x14ac:dyDescent="0.2">
      <c r="A910" s="103" t="s">
        <v>364</v>
      </c>
      <c r="B910" s="198" t="s">
        <v>195</v>
      </c>
      <c r="C910" s="37" t="s">
        <v>196</v>
      </c>
      <c r="D910" s="103">
        <v>11</v>
      </c>
      <c r="E910" s="122">
        <v>29969495</v>
      </c>
      <c r="F910" s="122">
        <v>29969495</v>
      </c>
      <c r="G910" s="227" t="s">
        <v>457</v>
      </c>
      <c r="H910" s="199">
        <v>0</v>
      </c>
      <c r="I910" s="122">
        <v>3859762</v>
      </c>
      <c r="J910" s="122">
        <v>3792203</v>
      </c>
      <c r="K910" s="122">
        <v>67559</v>
      </c>
      <c r="L910" s="122">
        <v>-67559</v>
      </c>
    </row>
    <row r="911" spans="1:12" ht="15" customHeight="1" x14ac:dyDescent="0.2">
      <c r="A911" s="103" t="s">
        <v>364</v>
      </c>
      <c r="B911" s="198" t="s">
        <v>149</v>
      </c>
      <c r="C911" s="37" t="s">
        <v>72</v>
      </c>
      <c r="D911" s="103">
        <v>92</v>
      </c>
      <c r="E911" s="122">
        <v>748308</v>
      </c>
      <c r="F911" s="122">
        <v>748308</v>
      </c>
      <c r="G911" s="227" t="s">
        <v>457</v>
      </c>
      <c r="H911" s="199">
        <v>0</v>
      </c>
      <c r="I911" s="122">
        <v>551</v>
      </c>
      <c r="J911" s="199">
        <v>0</v>
      </c>
      <c r="K911" s="122">
        <v>551</v>
      </c>
      <c r="L911" s="122">
        <v>-551</v>
      </c>
    </row>
    <row r="912" spans="1:12" ht="15" customHeight="1" x14ac:dyDescent="0.2">
      <c r="A912" s="103" t="s">
        <v>364</v>
      </c>
      <c r="B912" s="198" t="s">
        <v>350</v>
      </c>
      <c r="C912" s="37" t="s">
        <v>351</v>
      </c>
      <c r="D912" s="103">
        <v>156</v>
      </c>
      <c r="E912" s="122">
        <v>2184496</v>
      </c>
      <c r="F912" s="122">
        <v>2184496</v>
      </c>
      <c r="G912" s="227" t="s">
        <v>457</v>
      </c>
      <c r="H912" s="199">
        <v>0</v>
      </c>
      <c r="I912" s="122">
        <v>32867</v>
      </c>
      <c r="J912" s="122">
        <v>32835</v>
      </c>
      <c r="K912" s="122">
        <v>32</v>
      </c>
      <c r="L912" s="122">
        <v>-32</v>
      </c>
    </row>
    <row r="913" spans="1:12" s="229" customFormat="1" ht="15" customHeight="1" x14ac:dyDescent="0.2">
      <c r="A913" s="206" t="s">
        <v>402</v>
      </c>
      <c r="B913" s="228" t="s">
        <v>457</v>
      </c>
      <c r="C913" s="228" t="s">
        <v>457</v>
      </c>
      <c r="D913" s="228" t="s">
        <v>457</v>
      </c>
      <c r="E913" s="117">
        <f>SUBTOTAL(109,school199394[Program
Costs])</f>
        <v>60498795</v>
      </c>
      <c r="F913" s="117">
        <f>SUBTOTAL(109,school199394[Less: Net
 Payments and 
Offsets 2])</f>
        <v>58158211</v>
      </c>
      <c r="G913" s="228" t="s">
        <v>457</v>
      </c>
      <c r="H913" s="117">
        <f>SUBTOTAL(109,school199394[Accounts Payable
Balance])</f>
        <v>2340584</v>
      </c>
      <c r="I913" s="117">
        <f>SUBTOTAL(109,school199394[Established
Accounts Receivable])</f>
        <v>3893180</v>
      </c>
      <c r="J913" s="117">
        <f>SUBTOTAL(109,school199394[Less: 
Recovered 
Amount])</f>
        <v>3825038</v>
      </c>
      <c r="K913" s="117">
        <f>SUBTOTAL(109,school199394[Accounts Receivable
Balance])</f>
        <v>68142</v>
      </c>
      <c r="L913" s="117">
        <f>SUBTOTAL(109,school199394[Net
Balance])</f>
        <v>2272442</v>
      </c>
    </row>
    <row r="914" spans="1:12" x14ac:dyDescent="0.2">
      <c r="A914" s="169" t="s">
        <v>463</v>
      </c>
      <c r="B914" s="198"/>
      <c r="C914" s="37"/>
      <c r="D914" s="103"/>
      <c r="E914" s="122"/>
      <c r="F914" s="122"/>
      <c r="G914" s="122"/>
      <c r="H914" s="122"/>
      <c r="I914" s="122"/>
      <c r="J914" s="122"/>
      <c r="K914" s="122"/>
      <c r="L914" s="122"/>
    </row>
    <row r="915" spans="1:12" ht="50.1" customHeight="1" x14ac:dyDescent="0.2">
      <c r="A915" s="40" t="s">
        <v>1</v>
      </c>
      <c r="B915" s="40" t="s">
        <v>15</v>
      </c>
      <c r="C915" s="40" t="s">
        <v>16</v>
      </c>
      <c r="D915" s="40" t="s">
        <v>454</v>
      </c>
      <c r="E915" s="230" t="s">
        <v>3</v>
      </c>
      <c r="F915" s="231" t="s">
        <v>592</v>
      </c>
      <c r="G915" s="232" t="s">
        <v>462</v>
      </c>
      <c r="H915" s="230" t="s">
        <v>461</v>
      </c>
      <c r="I915" s="197" t="s">
        <v>460</v>
      </c>
      <c r="J915" s="230" t="s">
        <v>459</v>
      </c>
      <c r="K915" s="230" t="s">
        <v>458</v>
      </c>
      <c r="L915" s="230" t="s">
        <v>17</v>
      </c>
    </row>
    <row r="916" spans="1:12" s="229" customFormat="1" ht="15" customHeight="1" x14ac:dyDescent="0.2">
      <c r="A916" s="103" t="s">
        <v>156</v>
      </c>
      <c r="B916" s="198" t="s">
        <v>365</v>
      </c>
      <c r="C916" s="37" t="s">
        <v>366</v>
      </c>
      <c r="D916" s="103">
        <v>114</v>
      </c>
      <c r="E916" s="122">
        <v>11846195</v>
      </c>
      <c r="F916" s="122">
        <v>11846195</v>
      </c>
      <c r="G916" s="227" t="s">
        <v>457</v>
      </c>
      <c r="H916" s="199">
        <v>0</v>
      </c>
      <c r="I916" s="122">
        <v>1179938</v>
      </c>
      <c r="J916" s="122">
        <v>1179552</v>
      </c>
      <c r="K916" s="122">
        <v>386</v>
      </c>
      <c r="L916" s="122">
        <v>-386</v>
      </c>
    </row>
    <row r="917" spans="1:12" ht="30" customHeight="1" x14ac:dyDescent="0.2">
      <c r="A917" s="103" t="s">
        <v>156</v>
      </c>
      <c r="B917" s="198" t="s">
        <v>195</v>
      </c>
      <c r="C917" s="37" t="s">
        <v>196</v>
      </c>
      <c r="D917" s="103">
        <v>11</v>
      </c>
      <c r="E917" s="122">
        <v>29309462</v>
      </c>
      <c r="F917" s="122">
        <v>29309462</v>
      </c>
      <c r="G917" s="227" t="s">
        <v>457</v>
      </c>
      <c r="H917" s="199">
        <v>0</v>
      </c>
      <c r="I917" s="122">
        <v>3004258</v>
      </c>
      <c r="J917" s="122">
        <v>2983106</v>
      </c>
      <c r="K917" s="122">
        <v>21152</v>
      </c>
      <c r="L917" s="122">
        <v>-21152</v>
      </c>
    </row>
    <row r="918" spans="1:12" ht="15" customHeight="1" x14ac:dyDescent="0.2">
      <c r="A918" s="103" t="s">
        <v>156</v>
      </c>
      <c r="B918" s="198" t="s">
        <v>360</v>
      </c>
      <c r="C918" s="37" t="s">
        <v>361</v>
      </c>
      <c r="D918" s="103">
        <v>79</v>
      </c>
      <c r="E918" s="122">
        <v>1853410</v>
      </c>
      <c r="F918" s="122">
        <v>1853410</v>
      </c>
      <c r="G918" s="227" t="s">
        <v>457</v>
      </c>
      <c r="H918" s="199">
        <v>0</v>
      </c>
      <c r="I918" s="122">
        <v>654070</v>
      </c>
      <c r="J918" s="122">
        <v>649037</v>
      </c>
      <c r="K918" s="122">
        <v>5033</v>
      </c>
      <c r="L918" s="122">
        <v>-5033</v>
      </c>
    </row>
    <row r="919" spans="1:12" ht="15" customHeight="1" x14ac:dyDescent="0.2">
      <c r="A919" s="206" t="s">
        <v>400</v>
      </c>
      <c r="B919" s="228" t="s">
        <v>457</v>
      </c>
      <c r="C919" s="228" t="s">
        <v>457</v>
      </c>
      <c r="D919" s="228" t="s">
        <v>457</v>
      </c>
      <c r="E919" s="117">
        <f>SUBTOTAL(109,school199293[Program
Costs])</f>
        <v>43009067</v>
      </c>
      <c r="F919" s="117">
        <f>SUBTOTAL(109,school199293[Less: Net
 Payments and 
Offsets 2])</f>
        <v>43009067</v>
      </c>
      <c r="G919" s="228" t="s">
        <v>457</v>
      </c>
      <c r="H919" s="204">
        <f>SUBTOTAL(109,school199293[Accounts Payable
Balance])</f>
        <v>0</v>
      </c>
      <c r="I919" s="117">
        <f>SUBTOTAL(109,school199293[Established
Accounts Receivable])</f>
        <v>4838266</v>
      </c>
      <c r="J919" s="117">
        <f>SUBTOTAL(109,school199293[Less: 
Recovered 
Amount])</f>
        <v>4811695</v>
      </c>
      <c r="K919" s="117">
        <f>SUBTOTAL(109,school199293[Accounts Receivable
Balance])</f>
        <v>26571</v>
      </c>
      <c r="L919" s="117">
        <f>SUBTOTAL(109,school199293[Net
Balance])</f>
        <v>-26571</v>
      </c>
    </row>
    <row r="920" spans="1:12" x14ac:dyDescent="0.2">
      <c r="A920" s="169" t="s">
        <v>463</v>
      </c>
      <c r="B920" s="198"/>
      <c r="C920" s="37"/>
      <c r="D920" s="103"/>
      <c r="E920" s="122"/>
      <c r="F920" s="122"/>
      <c r="G920" s="122"/>
      <c r="H920" s="122"/>
      <c r="I920" s="122"/>
      <c r="J920" s="122"/>
      <c r="K920" s="122"/>
      <c r="L920" s="122"/>
    </row>
    <row r="921" spans="1:12" ht="50.1" customHeight="1" x14ac:dyDescent="0.2">
      <c r="A921" s="40" t="s">
        <v>1</v>
      </c>
      <c r="B921" s="40" t="s">
        <v>15</v>
      </c>
      <c r="C921" s="40" t="s">
        <v>16</v>
      </c>
      <c r="D921" s="40" t="s">
        <v>454</v>
      </c>
      <c r="E921" s="230" t="s">
        <v>3</v>
      </c>
      <c r="F921" s="231" t="s">
        <v>592</v>
      </c>
      <c r="G921" s="232" t="s">
        <v>462</v>
      </c>
      <c r="H921" s="230" t="s">
        <v>461</v>
      </c>
      <c r="I921" s="197" t="s">
        <v>460</v>
      </c>
      <c r="J921" s="230" t="s">
        <v>459</v>
      </c>
      <c r="K921" s="230" t="s">
        <v>458</v>
      </c>
      <c r="L921" s="230" t="s">
        <v>17</v>
      </c>
    </row>
    <row r="922" spans="1:12" ht="15" customHeight="1" x14ac:dyDescent="0.2">
      <c r="A922" s="103" t="s">
        <v>159</v>
      </c>
      <c r="B922" s="198" t="s">
        <v>365</v>
      </c>
      <c r="C922" s="37" t="s">
        <v>366</v>
      </c>
      <c r="D922" s="103">
        <v>114</v>
      </c>
      <c r="E922" s="122">
        <v>10650345</v>
      </c>
      <c r="F922" s="122">
        <v>10650345</v>
      </c>
      <c r="G922" s="227" t="s">
        <v>457</v>
      </c>
      <c r="H922" s="199">
        <v>0</v>
      </c>
      <c r="I922" s="122">
        <v>1058329</v>
      </c>
      <c r="J922" s="122">
        <v>1057915</v>
      </c>
      <c r="K922" s="122">
        <v>414</v>
      </c>
      <c r="L922" s="122">
        <v>-414</v>
      </c>
    </row>
    <row r="923" spans="1:12" ht="15" customHeight="1" x14ac:dyDescent="0.2">
      <c r="A923" s="103" t="s">
        <v>159</v>
      </c>
      <c r="B923" s="198" t="s">
        <v>149</v>
      </c>
      <c r="C923" s="37" t="s">
        <v>72</v>
      </c>
      <c r="D923" s="103">
        <v>92</v>
      </c>
      <c r="E923" s="122">
        <v>869812</v>
      </c>
      <c r="F923" s="122">
        <v>869812</v>
      </c>
      <c r="G923" s="227" t="s">
        <v>457</v>
      </c>
      <c r="H923" s="199">
        <v>0</v>
      </c>
      <c r="I923" s="122">
        <v>302710</v>
      </c>
      <c r="J923" s="122">
        <v>302634</v>
      </c>
      <c r="K923" s="122">
        <v>76</v>
      </c>
      <c r="L923" s="122">
        <v>-76</v>
      </c>
    </row>
    <row r="924" spans="1:12" ht="15" customHeight="1" x14ac:dyDescent="0.2">
      <c r="A924" s="206" t="s">
        <v>401</v>
      </c>
      <c r="B924" s="228" t="s">
        <v>457</v>
      </c>
      <c r="C924" s="228" t="s">
        <v>457</v>
      </c>
      <c r="D924" s="228" t="s">
        <v>457</v>
      </c>
      <c r="E924" s="117">
        <f>SUBTOTAL(109,school199192[Program
Costs])</f>
        <v>11520157</v>
      </c>
      <c r="F924" s="117">
        <f>SUBTOTAL(109,school199192[Less: Net
 Payments and 
Offsets 2])</f>
        <v>11520157</v>
      </c>
      <c r="G924" s="228" t="s">
        <v>457</v>
      </c>
      <c r="H924" s="204">
        <f>SUBTOTAL(109,school199192[Accounts Payable
Balance])</f>
        <v>0</v>
      </c>
      <c r="I924" s="117">
        <f>SUBTOTAL(109,school199192[Established
Accounts Receivable])</f>
        <v>1361039</v>
      </c>
      <c r="J924" s="117">
        <f>SUBTOTAL(109,school199192[Less: 
Recovered 
Amount])</f>
        <v>1360549</v>
      </c>
      <c r="K924" s="117">
        <f>SUBTOTAL(109,school199192[Accounts Receivable
Balance])</f>
        <v>490</v>
      </c>
      <c r="L924" s="117">
        <f>SUBTOTAL(109,school199192[Net
Balance])</f>
        <v>-490</v>
      </c>
    </row>
    <row r="925" spans="1:12" x14ac:dyDescent="0.2">
      <c r="A925" s="169" t="s">
        <v>463</v>
      </c>
      <c r="B925" s="198"/>
      <c r="C925" s="37"/>
      <c r="D925" s="103"/>
      <c r="E925" s="122"/>
      <c r="F925" s="122"/>
      <c r="G925" s="122"/>
      <c r="H925" s="122"/>
      <c r="I925" s="122"/>
      <c r="J925" s="122"/>
      <c r="K925" s="122"/>
      <c r="L925" s="122"/>
    </row>
    <row r="926" spans="1:12" ht="50.1" customHeight="1" x14ac:dyDescent="0.2">
      <c r="A926" s="40" t="s">
        <v>1</v>
      </c>
      <c r="B926" s="40" t="s">
        <v>15</v>
      </c>
      <c r="C926" s="40" t="s">
        <v>16</v>
      </c>
      <c r="D926" s="40" t="s">
        <v>454</v>
      </c>
      <c r="E926" s="230" t="s">
        <v>3</v>
      </c>
      <c r="F926" s="231" t="s">
        <v>592</v>
      </c>
      <c r="G926" s="232" t="s">
        <v>462</v>
      </c>
      <c r="H926" s="230" t="s">
        <v>461</v>
      </c>
      <c r="I926" s="197" t="s">
        <v>460</v>
      </c>
      <c r="J926" s="230" t="s">
        <v>459</v>
      </c>
      <c r="K926" s="230" t="s">
        <v>458</v>
      </c>
      <c r="L926" s="230" t="s">
        <v>17</v>
      </c>
    </row>
    <row r="927" spans="1:12" ht="15" customHeight="1" x14ac:dyDescent="0.2">
      <c r="A927" s="103" t="s">
        <v>163</v>
      </c>
      <c r="B927" s="198" t="s">
        <v>365</v>
      </c>
      <c r="C927" s="37" t="s">
        <v>366</v>
      </c>
      <c r="D927" s="103">
        <v>114</v>
      </c>
      <c r="E927" s="122">
        <v>9961940</v>
      </c>
      <c r="F927" s="122">
        <v>9961940</v>
      </c>
      <c r="G927" s="227" t="s">
        <v>457</v>
      </c>
      <c r="H927" s="199">
        <v>0</v>
      </c>
      <c r="I927" s="122">
        <v>1019995</v>
      </c>
      <c r="J927" s="122">
        <v>1019595</v>
      </c>
      <c r="K927" s="122">
        <v>400</v>
      </c>
      <c r="L927" s="122">
        <v>-400</v>
      </c>
    </row>
    <row r="928" spans="1:12" ht="15" customHeight="1" x14ac:dyDescent="0.2">
      <c r="A928" s="103" t="s">
        <v>163</v>
      </c>
      <c r="B928" s="198" t="s">
        <v>321</v>
      </c>
      <c r="C928" s="37" t="s">
        <v>239</v>
      </c>
      <c r="D928" s="103">
        <v>26</v>
      </c>
      <c r="E928" s="122">
        <v>5435894</v>
      </c>
      <c r="F928" s="122">
        <v>5435894</v>
      </c>
      <c r="G928" s="227" t="s">
        <v>457</v>
      </c>
      <c r="H928" s="199">
        <v>0</v>
      </c>
      <c r="I928" s="122">
        <v>2940929</v>
      </c>
      <c r="J928" s="122">
        <v>2591660</v>
      </c>
      <c r="K928" s="122">
        <v>349269</v>
      </c>
      <c r="L928" s="122">
        <v>-349269</v>
      </c>
    </row>
    <row r="929" spans="1:12" ht="15" customHeight="1" x14ac:dyDescent="0.2">
      <c r="A929" s="206" t="s">
        <v>403</v>
      </c>
      <c r="B929" s="228" t="s">
        <v>457</v>
      </c>
      <c r="C929" s="228" t="s">
        <v>457</v>
      </c>
      <c r="D929" s="228" t="s">
        <v>457</v>
      </c>
      <c r="E929" s="117">
        <f>SUBTOTAL(109,school199091[Program
Costs])</f>
        <v>15397834</v>
      </c>
      <c r="F929" s="117">
        <f>SUBTOTAL(109,school199091[Less: Net
 Payments and 
Offsets 2])</f>
        <v>15397834</v>
      </c>
      <c r="G929" s="228" t="s">
        <v>457</v>
      </c>
      <c r="H929" s="204">
        <f>SUBTOTAL(109,school199091[Accounts Payable
Balance])</f>
        <v>0</v>
      </c>
      <c r="I929" s="117">
        <f>SUBTOTAL(109,school199091[Established
Accounts Receivable])</f>
        <v>3960924</v>
      </c>
      <c r="J929" s="117">
        <f>SUBTOTAL(109,school199091[Less: 
Recovered 
Amount])</f>
        <v>3611255</v>
      </c>
      <c r="K929" s="117">
        <f>SUBTOTAL(109,school199091[Accounts Receivable
Balance])</f>
        <v>349669</v>
      </c>
      <c r="L929" s="117">
        <f>SUBTOTAL(109,school199091[Net
Balance])</f>
        <v>-349669</v>
      </c>
    </row>
    <row r="930" spans="1:12" x14ac:dyDescent="0.2">
      <c r="A930" s="169" t="s">
        <v>463</v>
      </c>
      <c r="B930" s="198"/>
      <c r="C930" s="37"/>
      <c r="D930" s="103"/>
      <c r="E930" s="122"/>
      <c r="F930" s="122"/>
      <c r="G930" s="122"/>
      <c r="H930" s="122"/>
      <c r="I930" s="122"/>
      <c r="J930" s="122"/>
      <c r="K930" s="122"/>
      <c r="L930" s="122"/>
    </row>
    <row r="931" spans="1:12" ht="50.1" customHeight="1" x14ac:dyDescent="0.2">
      <c r="A931" s="40" t="s">
        <v>1</v>
      </c>
      <c r="B931" s="40" t="s">
        <v>15</v>
      </c>
      <c r="C931" s="40" t="s">
        <v>16</v>
      </c>
      <c r="D931" s="40" t="s">
        <v>454</v>
      </c>
      <c r="E931" s="230" t="s">
        <v>3</v>
      </c>
      <c r="F931" s="231" t="s">
        <v>592</v>
      </c>
      <c r="G931" s="232" t="s">
        <v>462</v>
      </c>
      <c r="H931" s="230" t="s">
        <v>461</v>
      </c>
      <c r="I931" s="197" t="s">
        <v>460</v>
      </c>
      <c r="J931" s="230" t="s">
        <v>459</v>
      </c>
      <c r="K931" s="230" t="s">
        <v>458</v>
      </c>
      <c r="L931" s="230" t="s">
        <v>17</v>
      </c>
    </row>
    <row r="932" spans="1:12" ht="15" customHeight="1" x14ac:dyDescent="0.2">
      <c r="A932" s="103" t="s">
        <v>367</v>
      </c>
      <c r="B932" s="198" t="s">
        <v>365</v>
      </c>
      <c r="C932" s="37" t="s">
        <v>366</v>
      </c>
      <c r="D932" s="103">
        <v>114</v>
      </c>
      <c r="E932" s="122">
        <v>9684270</v>
      </c>
      <c r="F932" s="122">
        <v>9684270</v>
      </c>
      <c r="G932" s="227" t="s">
        <v>457</v>
      </c>
      <c r="H932" s="199">
        <v>0</v>
      </c>
      <c r="I932" s="122">
        <v>954100</v>
      </c>
      <c r="J932" s="122">
        <v>953623</v>
      </c>
      <c r="K932" s="122">
        <v>477</v>
      </c>
      <c r="L932" s="122">
        <v>-477</v>
      </c>
    </row>
    <row r="933" spans="1:12" ht="15" customHeight="1" x14ac:dyDescent="0.2">
      <c r="A933" s="103" t="s">
        <v>367</v>
      </c>
      <c r="B933" s="198" t="s">
        <v>321</v>
      </c>
      <c r="C933" s="37" t="s">
        <v>239</v>
      </c>
      <c r="D933" s="103">
        <v>26</v>
      </c>
      <c r="E933" s="122">
        <v>8260170</v>
      </c>
      <c r="F933" s="122">
        <v>8260170</v>
      </c>
      <c r="G933" s="227" t="s">
        <v>457</v>
      </c>
      <c r="H933" s="199">
        <v>0</v>
      </c>
      <c r="I933" s="122">
        <v>611477</v>
      </c>
      <c r="J933" s="122">
        <v>571387</v>
      </c>
      <c r="K933" s="122">
        <v>40090</v>
      </c>
      <c r="L933" s="122">
        <v>-40090</v>
      </c>
    </row>
    <row r="934" spans="1:12" ht="15" customHeight="1" x14ac:dyDescent="0.2">
      <c r="A934" s="206" t="s">
        <v>404</v>
      </c>
      <c r="B934" s="228" t="s">
        <v>457</v>
      </c>
      <c r="C934" s="228" t="s">
        <v>457</v>
      </c>
      <c r="D934" s="228" t="s">
        <v>457</v>
      </c>
      <c r="E934" s="117">
        <f>SUBTOTAL(109,school198990[Program
Costs])</f>
        <v>17944440</v>
      </c>
      <c r="F934" s="117">
        <f>SUBTOTAL(109,school198990[Less: Net
 Payments and 
Offsets 2])</f>
        <v>17944440</v>
      </c>
      <c r="G934" s="228" t="s">
        <v>457</v>
      </c>
      <c r="H934" s="204">
        <f>SUBTOTAL(109,school198990[Accounts Payable
Balance])</f>
        <v>0</v>
      </c>
      <c r="I934" s="117">
        <f>SUBTOTAL(109,school198990[Established
Accounts Receivable])</f>
        <v>1565577</v>
      </c>
      <c r="J934" s="117">
        <f>SUBTOTAL(109,school198990[Less: 
Recovered 
Amount])</f>
        <v>1525010</v>
      </c>
      <c r="K934" s="117">
        <f>SUBTOTAL(109,school198990[Accounts Receivable
Balance])</f>
        <v>40567</v>
      </c>
      <c r="L934" s="117">
        <f>SUBTOTAL(109,school198990[Net
Balance])</f>
        <v>-40567</v>
      </c>
    </row>
    <row r="935" spans="1:12" x14ac:dyDescent="0.2">
      <c r="A935" s="169" t="s">
        <v>463</v>
      </c>
      <c r="B935" s="198"/>
      <c r="C935" s="37"/>
      <c r="D935" s="103"/>
      <c r="E935" s="122"/>
      <c r="F935" s="122"/>
      <c r="G935" s="122"/>
      <c r="H935" s="122"/>
      <c r="I935" s="122"/>
      <c r="J935" s="122"/>
      <c r="K935" s="122"/>
      <c r="L935" s="122"/>
    </row>
    <row r="936" spans="1:12" ht="50.1" customHeight="1" x14ac:dyDescent="0.2">
      <c r="A936" s="40" t="s">
        <v>1</v>
      </c>
      <c r="B936" s="40" t="s">
        <v>15</v>
      </c>
      <c r="C936" s="40" t="s">
        <v>16</v>
      </c>
      <c r="D936" s="40" t="s">
        <v>454</v>
      </c>
      <c r="E936" s="230" t="s">
        <v>3</v>
      </c>
      <c r="F936" s="231" t="s">
        <v>592</v>
      </c>
      <c r="G936" s="232" t="s">
        <v>462</v>
      </c>
      <c r="H936" s="230" t="s">
        <v>461</v>
      </c>
      <c r="I936" s="197" t="s">
        <v>460</v>
      </c>
      <c r="J936" s="230" t="s">
        <v>459</v>
      </c>
      <c r="K936" s="230" t="s">
        <v>458</v>
      </c>
      <c r="L936" s="230" t="s">
        <v>17</v>
      </c>
    </row>
    <row r="937" spans="1:12" ht="15" customHeight="1" x14ac:dyDescent="0.2">
      <c r="A937" s="103" t="s">
        <v>368</v>
      </c>
      <c r="B937" s="198" t="s">
        <v>365</v>
      </c>
      <c r="C937" s="37" t="s">
        <v>366</v>
      </c>
      <c r="D937" s="103">
        <v>114</v>
      </c>
      <c r="E937" s="122">
        <v>8195968</v>
      </c>
      <c r="F937" s="122">
        <v>8195968</v>
      </c>
      <c r="G937" s="227" t="s">
        <v>457</v>
      </c>
      <c r="H937" s="199">
        <v>0</v>
      </c>
      <c r="I937" s="122">
        <v>880183</v>
      </c>
      <c r="J937" s="122">
        <v>879682</v>
      </c>
      <c r="K937" s="122">
        <v>501</v>
      </c>
      <c r="L937" s="122">
        <v>-501</v>
      </c>
    </row>
    <row r="938" spans="1:12" ht="15" customHeight="1" x14ac:dyDescent="0.2">
      <c r="A938" s="206" t="s">
        <v>405</v>
      </c>
      <c r="B938" s="228" t="s">
        <v>457</v>
      </c>
      <c r="C938" s="228" t="s">
        <v>457</v>
      </c>
      <c r="D938" s="228" t="s">
        <v>457</v>
      </c>
      <c r="E938" s="117">
        <f>SUBTOTAL(109,school198889[Program
Costs])</f>
        <v>8195968</v>
      </c>
      <c r="F938" s="117">
        <f>SUBTOTAL(109,school198889[Less: Net
 Payments and 
Offsets 2])</f>
        <v>8195968</v>
      </c>
      <c r="G938" s="228" t="s">
        <v>457</v>
      </c>
      <c r="H938" s="204">
        <f>SUBTOTAL(109,school198889[Accounts Payable
Balance])</f>
        <v>0</v>
      </c>
      <c r="I938" s="117">
        <f>SUBTOTAL(109,school198889[Established
Accounts Receivable])</f>
        <v>880183</v>
      </c>
      <c r="J938" s="117">
        <f>SUBTOTAL(109,school198889[Less: 
Recovered 
Amount])</f>
        <v>879682</v>
      </c>
      <c r="K938" s="117">
        <f>SUBTOTAL(109,school198889[Accounts Receivable
Balance])</f>
        <v>501</v>
      </c>
      <c r="L938" s="117">
        <f>SUBTOTAL(109,school198889[Net
Balance])</f>
        <v>-501</v>
      </c>
    </row>
    <row r="939" spans="1:12" x14ac:dyDescent="0.2">
      <c r="A939" s="169" t="s">
        <v>463</v>
      </c>
      <c r="B939" s="198"/>
      <c r="C939" s="37"/>
      <c r="D939" s="103"/>
      <c r="E939" s="122"/>
      <c r="F939" s="122"/>
      <c r="G939" s="122"/>
      <c r="H939" s="122"/>
      <c r="I939" s="122"/>
      <c r="J939" s="122"/>
      <c r="K939" s="122"/>
      <c r="L939" s="122"/>
    </row>
    <row r="940" spans="1:12" ht="50.1" customHeight="1" x14ac:dyDescent="0.2">
      <c r="A940" s="40" t="s">
        <v>1</v>
      </c>
      <c r="B940" s="40" t="s">
        <v>15</v>
      </c>
      <c r="C940" s="40" t="s">
        <v>16</v>
      </c>
      <c r="D940" s="40" t="s">
        <v>454</v>
      </c>
      <c r="E940" s="230" t="s">
        <v>3</v>
      </c>
      <c r="F940" s="231" t="s">
        <v>592</v>
      </c>
      <c r="G940" s="232" t="s">
        <v>462</v>
      </c>
      <c r="H940" s="230" t="s">
        <v>461</v>
      </c>
      <c r="I940" s="197" t="s">
        <v>460</v>
      </c>
      <c r="J940" s="230" t="s">
        <v>459</v>
      </c>
      <c r="K940" s="230" t="s">
        <v>458</v>
      </c>
      <c r="L940" s="230" t="s">
        <v>17</v>
      </c>
    </row>
    <row r="941" spans="1:12" ht="15" customHeight="1" x14ac:dyDescent="0.2">
      <c r="A941" s="103" t="s">
        <v>369</v>
      </c>
      <c r="B941" s="198" t="s">
        <v>365</v>
      </c>
      <c r="C941" s="37" t="s">
        <v>366</v>
      </c>
      <c r="D941" s="103">
        <v>114</v>
      </c>
      <c r="E941" s="122">
        <v>8055062</v>
      </c>
      <c r="F941" s="122">
        <v>8055062</v>
      </c>
      <c r="G941" s="227" t="s">
        <v>457</v>
      </c>
      <c r="H941" s="199">
        <v>0</v>
      </c>
      <c r="I941" s="122">
        <v>803598</v>
      </c>
      <c r="J941" s="122">
        <v>803123</v>
      </c>
      <c r="K941" s="122">
        <v>475</v>
      </c>
      <c r="L941" s="122">
        <v>-475</v>
      </c>
    </row>
    <row r="942" spans="1:12" ht="15" customHeight="1" x14ac:dyDescent="0.2">
      <c r="A942" s="206" t="s">
        <v>406</v>
      </c>
      <c r="B942" s="228" t="s">
        <v>457</v>
      </c>
      <c r="C942" s="228" t="s">
        <v>457</v>
      </c>
      <c r="D942" s="228" t="s">
        <v>457</v>
      </c>
      <c r="E942" s="117">
        <f>SUBTOTAL(109,school198788[Program
Costs])</f>
        <v>8055062</v>
      </c>
      <c r="F942" s="117">
        <f>SUBTOTAL(109,school198788[Less: Net
 Payments and 
Offsets 2])</f>
        <v>8055062</v>
      </c>
      <c r="G942" s="228" t="s">
        <v>457</v>
      </c>
      <c r="H942" s="204">
        <f>SUBTOTAL(109,school198788[Accounts Payable
Balance])</f>
        <v>0</v>
      </c>
      <c r="I942" s="117">
        <f>SUBTOTAL(109,school198788[Established
Accounts Receivable])</f>
        <v>803598</v>
      </c>
      <c r="J942" s="117">
        <f>SUBTOTAL(109,school198788[Less: 
Recovered 
Amount])</f>
        <v>803123</v>
      </c>
      <c r="K942" s="117">
        <f>SUBTOTAL(109,school198788[Accounts Receivable
Balance])</f>
        <v>475</v>
      </c>
      <c r="L942" s="117">
        <f>SUBTOTAL(109,school198788[Net
Balance])</f>
        <v>-475</v>
      </c>
    </row>
    <row r="943" spans="1:12" x14ac:dyDescent="0.2">
      <c r="A943" s="169" t="s">
        <v>463</v>
      </c>
      <c r="B943" s="198"/>
      <c r="C943" s="37"/>
      <c r="D943" s="103"/>
      <c r="E943" s="122"/>
      <c r="F943" s="122"/>
      <c r="G943" s="122"/>
      <c r="H943" s="122"/>
      <c r="I943" s="122"/>
      <c r="J943" s="122"/>
      <c r="K943" s="122"/>
      <c r="L943" s="122"/>
    </row>
    <row r="944" spans="1:12" ht="49.5" customHeight="1" x14ac:dyDescent="0.2">
      <c r="A944" s="40" t="s">
        <v>1</v>
      </c>
      <c r="B944" s="40" t="s">
        <v>15</v>
      </c>
      <c r="C944" s="40" t="s">
        <v>16</v>
      </c>
      <c r="D944" s="40" t="s">
        <v>454</v>
      </c>
      <c r="E944" s="230" t="s">
        <v>3</v>
      </c>
      <c r="F944" s="231" t="s">
        <v>592</v>
      </c>
      <c r="G944" s="232" t="s">
        <v>462</v>
      </c>
      <c r="H944" s="230" t="s">
        <v>461</v>
      </c>
      <c r="I944" s="197" t="s">
        <v>460</v>
      </c>
      <c r="J944" s="230" t="s">
        <v>459</v>
      </c>
      <c r="K944" s="230" t="s">
        <v>458</v>
      </c>
      <c r="L944" s="230" t="s">
        <v>17</v>
      </c>
    </row>
    <row r="945" spans="1:12" ht="15" customHeight="1" x14ac:dyDescent="0.2">
      <c r="A945" s="103" t="s">
        <v>370</v>
      </c>
      <c r="B945" s="198" t="s">
        <v>365</v>
      </c>
      <c r="C945" s="37" t="s">
        <v>366</v>
      </c>
      <c r="D945" s="103">
        <v>114</v>
      </c>
      <c r="E945" s="122">
        <v>7376797</v>
      </c>
      <c r="F945" s="122">
        <v>7376797</v>
      </c>
      <c r="G945" s="227" t="s">
        <v>457</v>
      </c>
      <c r="H945" s="199">
        <v>0</v>
      </c>
      <c r="I945" s="122">
        <v>727817</v>
      </c>
      <c r="J945" s="122">
        <v>726917</v>
      </c>
      <c r="K945" s="122">
        <v>900</v>
      </c>
      <c r="L945" s="122">
        <v>-900</v>
      </c>
    </row>
    <row r="946" spans="1:12" ht="15" customHeight="1" x14ac:dyDescent="0.2">
      <c r="A946" s="206" t="s">
        <v>407</v>
      </c>
      <c r="B946" s="228" t="s">
        <v>457</v>
      </c>
      <c r="C946" s="228" t="s">
        <v>457</v>
      </c>
      <c r="D946" s="228" t="s">
        <v>457</v>
      </c>
      <c r="E946" s="117">
        <f>SUBTOTAL(109,school198687[Program
Costs])</f>
        <v>7376797</v>
      </c>
      <c r="F946" s="117">
        <f>SUBTOTAL(109,school198687[Less: Net
 Payments and 
Offsets 2])</f>
        <v>7376797</v>
      </c>
      <c r="G946" s="228" t="s">
        <v>457</v>
      </c>
      <c r="H946" s="204">
        <f>SUBTOTAL(109,school198687[Accounts Payable
Balance])</f>
        <v>0</v>
      </c>
      <c r="I946" s="117">
        <f>SUBTOTAL(109,school198687[Established
Accounts Receivable])</f>
        <v>727817</v>
      </c>
      <c r="J946" s="117">
        <f>SUBTOTAL(109,school198687[Less: 
Recovered 
Amount])</f>
        <v>726917</v>
      </c>
      <c r="K946" s="117">
        <f>SUBTOTAL(109,school198687[Accounts Receivable
Balance])</f>
        <v>900</v>
      </c>
      <c r="L946" s="117">
        <f>SUBTOTAL(109,school198687[Net
Balance])</f>
        <v>-900</v>
      </c>
    </row>
    <row r="947" spans="1:12" x14ac:dyDescent="0.2">
      <c r="A947" s="169" t="s">
        <v>463</v>
      </c>
      <c r="B947" s="198"/>
      <c r="C947" s="37"/>
      <c r="D947" s="103"/>
      <c r="E947" s="122"/>
      <c r="F947" s="122"/>
      <c r="G947" s="122"/>
      <c r="H947" s="122"/>
      <c r="I947" s="122"/>
      <c r="J947" s="122"/>
      <c r="K947" s="122"/>
      <c r="L947" s="122"/>
    </row>
    <row r="948" spans="1:12" ht="50.1" customHeight="1" x14ac:dyDescent="0.2">
      <c r="A948" s="40" t="s">
        <v>1</v>
      </c>
      <c r="B948" s="40" t="s">
        <v>15</v>
      </c>
      <c r="C948" s="40" t="s">
        <v>16</v>
      </c>
      <c r="D948" s="40" t="s">
        <v>454</v>
      </c>
      <c r="E948" s="230" t="s">
        <v>3</v>
      </c>
      <c r="F948" s="231" t="s">
        <v>592</v>
      </c>
      <c r="G948" s="232" t="s">
        <v>462</v>
      </c>
      <c r="H948" s="230" t="s">
        <v>461</v>
      </c>
      <c r="I948" s="197" t="s">
        <v>460</v>
      </c>
      <c r="J948" s="230" t="s">
        <v>459</v>
      </c>
      <c r="K948" s="230" t="s">
        <v>458</v>
      </c>
      <c r="L948" s="230" t="s">
        <v>17</v>
      </c>
    </row>
    <row r="949" spans="1:12" ht="15" customHeight="1" x14ac:dyDescent="0.2">
      <c r="A949" s="103" t="s">
        <v>371</v>
      </c>
      <c r="B949" s="198" t="s">
        <v>365</v>
      </c>
      <c r="C949" s="37" t="s">
        <v>366</v>
      </c>
      <c r="D949" s="103">
        <v>114</v>
      </c>
      <c r="E949" s="122">
        <v>7513308</v>
      </c>
      <c r="F949" s="122">
        <v>7513308</v>
      </c>
      <c r="G949" s="227" t="s">
        <v>457</v>
      </c>
      <c r="H949" s="199">
        <v>0</v>
      </c>
      <c r="I949" s="122">
        <v>588899</v>
      </c>
      <c r="J949" s="122">
        <v>588367</v>
      </c>
      <c r="K949" s="122">
        <v>532</v>
      </c>
      <c r="L949" s="122">
        <v>-532</v>
      </c>
    </row>
    <row r="950" spans="1:12" ht="15" customHeight="1" x14ac:dyDescent="0.2">
      <c r="A950" s="206" t="s">
        <v>408</v>
      </c>
      <c r="B950" s="228" t="s">
        <v>457</v>
      </c>
      <c r="C950" s="228" t="s">
        <v>457</v>
      </c>
      <c r="D950" s="228" t="s">
        <v>457</v>
      </c>
      <c r="E950" s="117">
        <f>SUBTOTAL(109,school198586[Program
Costs])</f>
        <v>7513308</v>
      </c>
      <c r="F950" s="117">
        <f>SUBTOTAL(109,school198586[Less: Net
 Payments and 
Offsets 2])</f>
        <v>7513308</v>
      </c>
      <c r="G950" s="228" t="s">
        <v>457</v>
      </c>
      <c r="H950" s="204">
        <f>SUBTOTAL(109,school198586[Accounts Payable
Balance])</f>
        <v>0</v>
      </c>
      <c r="I950" s="117">
        <f>SUBTOTAL(109,school198586[Established
Accounts Receivable])</f>
        <v>588899</v>
      </c>
      <c r="J950" s="117">
        <f>SUBTOTAL(109,school198586[Less: 
Recovered 
Amount])</f>
        <v>588367</v>
      </c>
      <c r="K950" s="117">
        <f>SUBTOTAL(109,school198586[Accounts Receivable
Balance])</f>
        <v>532</v>
      </c>
      <c r="L950" s="117">
        <f>SUBTOTAL(109,school198586[Net
Balance])</f>
        <v>-532</v>
      </c>
    </row>
    <row r="951" spans="1:12" x14ac:dyDescent="0.2">
      <c r="A951" s="169" t="s">
        <v>463</v>
      </c>
      <c r="B951" s="198"/>
      <c r="C951" s="37"/>
      <c r="D951" s="103"/>
      <c r="E951" s="122"/>
      <c r="F951" s="122"/>
      <c r="G951" s="122"/>
      <c r="H951" s="122"/>
      <c r="I951" s="122"/>
      <c r="J951" s="122"/>
      <c r="K951" s="122"/>
      <c r="L951" s="122"/>
    </row>
    <row r="952" spans="1:12" ht="50.1" customHeight="1" x14ac:dyDescent="0.2">
      <c r="A952" s="40" t="s">
        <v>1</v>
      </c>
      <c r="B952" s="40" t="s">
        <v>15</v>
      </c>
      <c r="C952" s="40" t="s">
        <v>16</v>
      </c>
      <c r="D952" s="40" t="s">
        <v>454</v>
      </c>
      <c r="E952" s="230" t="s">
        <v>3</v>
      </c>
      <c r="F952" s="231" t="s">
        <v>592</v>
      </c>
      <c r="G952" s="232" t="s">
        <v>462</v>
      </c>
      <c r="H952" s="230" t="s">
        <v>461</v>
      </c>
      <c r="I952" s="197" t="s">
        <v>460</v>
      </c>
      <c r="J952" s="230" t="s">
        <v>459</v>
      </c>
      <c r="K952" s="230" t="s">
        <v>458</v>
      </c>
      <c r="L952" s="230" t="s">
        <v>17</v>
      </c>
    </row>
    <row r="953" spans="1:12" ht="15" customHeight="1" x14ac:dyDescent="0.2">
      <c r="A953" s="130" t="s">
        <v>589</v>
      </c>
      <c r="B953" s="233" t="s">
        <v>457</v>
      </c>
      <c r="C953" s="233" t="s">
        <v>457</v>
      </c>
      <c r="D953" s="233" t="s">
        <v>457</v>
      </c>
      <c r="E953" s="73">
        <v>423125</v>
      </c>
      <c r="F953" s="126">
        <v>0</v>
      </c>
      <c r="G953" s="233" t="s">
        <v>457</v>
      </c>
      <c r="H953" s="73">
        <v>423125</v>
      </c>
      <c r="I953" s="126">
        <v>0</v>
      </c>
      <c r="J953" s="126">
        <v>0</v>
      </c>
      <c r="K953" s="126">
        <v>0</v>
      </c>
      <c r="L953" s="73">
        <v>423125</v>
      </c>
    </row>
    <row r="954" spans="1:12" ht="15" customHeight="1" x14ac:dyDescent="0.2">
      <c r="A954" s="130" t="s">
        <v>425</v>
      </c>
      <c r="B954" s="233"/>
      <c r="C954" s="233"/>
      <c r="D954" s="233"/>
      <c r="E954" s="73">
        <v>549322</v>
      </c>
      <c r="F954" s="73">
        <v>23000</v>
      </c>
      <c r="G954" s="233" t="s">
        <v>457</v>
      </c>
      <c r="H954" s="236">
        <v>526322</v>
      </c>
      <c r="I954" s="126">
        <v>0</v>
      </c>
      <c r="J954" s="126">
        <v>0</v>
      </c>
      <c r="K954" s="126">
        <v>0</v>
      </c>
      <c r="L954" s="73">
        <v>526322</v>
      </c>
    </row>
    <row r="955" spans="1:12" ht="15" customHeight="1" x14ac:dyDescent="0.2">
      <c r="A955" s="130" t="s">
        <v>18</v>
      </c>
      <c r="B955" s="233" t="s">
        <v>457</v>
      </c>
      <c r="C955" s="233" t="s">
        <v>457</v>
      </c>
      <c r="D955" s="233" t="s">
        <v>457</v>
      </c>
      <c r="E955" s="73">
        <v>1493855</v>
      </c>
      <c r="F955" s="73">
        <v>26000</v>
      </c>
      <c r="G955" s="233" t="s">
        <v>457</v>
      </c>
      <c r="H955" s="73">
        <v>1467855</v>
      </c>
      <c r="I955" s="126">
        <v>0</v>
      </c>
      <c r="J955" s="126">
        <v>0</v>
      </c>
      <c r="K955" s="126">
        <v>0</v>
      </c>
      <c r="L955" s="73">
        <v>1467855</v>
      </c>
    </row>
    <row r="956" spans="1:12" ht="15" customHeight="1" x14ac:dyDescent="0.2">
      <c r="A956" s="130" t="s">
        <v>63</v>
      </c>
      <c r="B956" s="233" t="s">
        <v>457</v>
      </c>
      <c r="C956" s="233" t="s">
        <v>457</v>
      </c>
      <c r="D956" s="233" t="s">
        <v>457</v>
      </c>
      <c r="E956" s="73">
        <v>2649876</v>
      </c>
      <c r="F956" s="73">
        <v>31000</v>
      </c>
      <c r="G956" s="233" t="s">
        <v>457</v>
      </c>
      <c r="H956" s="73">
        <v>2618876</v>
      </c>
      <c r="I956" s="126">
        <v>0</v>
      </c>
      <c r="J956" s="126">
        <v>0</v>
      </c>
      <c r="K956" s="126">
        <v>0</v>
      </c>
      <c r="L956" s="73">
        <v>2618876</v>
      </c>
    </row>
    <row r="957" spans="1:12" ht="15" customHeight="1" x14ac:dyDescent="0.2">
      <c r="A957" s="130" t="s">
        <v>64</v>
      </c>
      <c r="B957" s="233" t="s">
        <v>457</v>
      </c>
      <c r="C957" s="233" t="s">
        <v>457</v>
      </c>
      <c r="D957" s="233" t="s">
        <v>457</v>
      </c>
      <c r="E957" s="73">
        <v>4060972</v>
      </c>
      <c r="F957" s="73">
        <v>43444</v>
      </c>
      <c r="G957" s="233" t="s">
        <v>457</v>
      </c>
      <c r="H957" s="73">
        <v>4017528</v>
      </c>
      <c r="I957" s="126">
        <v>0</v>
      </c>
      <c r="J957" s="126">
        <v>0</v>
      </c>
      <c r="K957" s="126">
        <v>0</v>
      </c>
      <c r="L957" s="73">
        <v>4017528</v>
      </c>
    </row>
    <row r="958" spans="1:12" ht="15" customHeight="1" x14ac:dyDescent="0.2">
      <c r="A958" s="130" t="s">
        <v>65</v>
      </c>
      <c r="B958" s="233" t="s">
        <v>457</v>
      </c>
      <c r="C958" s="233" t="s">
        <v>457</v>
      </c>
      <c r="D958" s="233" t="s">
        <v>457</v>
      </c>
      <c r="E958" s="73">
        <v>17717962</v>
      </c>
      <c r="F958" s="73">
        <v>11095541</v>
      </c>
      <c r="G958" s="233" t="s">
        <v>457</v>
      </c>
      <c r="H958" s="73">
        <v>6622421</v>
      </c>
      <c r="I958" s="126">
        <v>0</v>
      </c>
      <c r="J958" s="126">
        <v>0</v>
      </c>
      <c r="K958" s="126">
        <v>0</v>
      </c>
      <c r="L958" s="73">
        <v>6622421</v>
      </c>
    </row>
    <row r="959" spans="1:12" ht="15" customHeight="1" x14ac:dyDescent="0.2">
      <c r="A959" s="130" t="s">
        <v>66</v>
      </c>
      <c r="B959" s="233" t="s">
        <v>457</v>
      </c>
      <c r="C959" s="233" t="s">
        <v>457</v>
      </c>
      <c r="D959" s="233" t="s">
        <v>457</v>
      </c>
      <c r="E959" s="73">
        <v>36726941</v>
      </c>
      <c r="F959" s="73">
        <v>27373414</v>
      </c>
      <c r="G959" s="233" t="s">
        <v>457</v>
      </c>
      <c r="H959" s="73">
        <v>9353527</v>
      </c>
      <c r="I959" s="73">
        <v>1000</v>
      </c>
      <c r="J959" s="126">
        <v>0</v>
      </c>
      <c r="K959" s="73">
        <v>1000</v>
      </c>
      <c r="L959" s="73">
        <v>9352527</v>
      </c>
    </row>
    <row r="960" spans="1:12" ht="15" customHeight="1" x14ac:dyDescent="0.2">
      <c r="A960" s="130" t="s">
        <v>67</v>
      </c>
      <c r="B960" s="233" t="s">
        <v>457</v>
      </c>
      <c r="C960" s="233" t="s">
        <v>457</v>
      </c>
      <c r="D960" s="233" t="s">
        <v>457</v>
      </c>
      <c r="E960" s="73">
        <v>70175163</v>
      </c>
      <c r="F960" s="73">
        <v>51803039</v>
      </c>
      <c r="G960" s="233" t="s">
        <v>457</v>
      </c>
      <c r="H960" s="73">
        <v>18372124</v>
      </c>
      <c r="I960" s="73">
        <v>416801</v>
      </c>
      <c r="J960" s="73">
        <v>416801</v>
      </c>
      <c r="K960" s="126">
        <v>0</v>
      </c>
      <c r="L960" s="73">
        <v>18372124</v>
      </c>
    </row>
    <row r="961" spans="1:12" ht="15" customHeight="1" x14ac:dyDescent="0.2">
      <c r="A961" s="130" t="s">
        <v>68</v>
      </c>
      <c r="B961" s="233" t="s">
        <v>457</v>
      </c>
      <c r="C961" s="233" t="s">
        <v>457</v>
      </c>
      <c r="D961" s="233" t="s">
        <v>457</v>
      </c>
      <c r="E961" s="73">
        <v>94359168</v>
      </c>
      <c r="F961" s="73">
        <v>76061480</v>
      </c>
      <c r="G961" s="233" t="s">
        <v>457</v>
      </c>
      <c r="H961" s="73">
        <v>18297688</v>
      </c>
      <c r="I961" s="126">
        <v>0</v>
      </c>
      <c r="J961" s="126">
        <v>0</v>
      </c>
      <c r="K961" s="126">
        <v>0</v>
      </c>
      <c r="L961" s="73">
        <v>18297688</v>
      </c>
    </row>
    <row r="962" spans="1:12" ht="15" customHeight="1" x14ac:dyDescent="0.2">
      <c r="A962" s="130" t="s">
        <v>69</v>
      </c>
      <c r="B962" s="233" t="s">
        <v>457</v>
      </c>
      <c r="C962" s="233" t="s">
        <v>457</v>
      </c>
      <c r="D962" s="233" t="s">
        <v>457</v>
      </c>
      <c r="E962" s="73">
        <v>226170471</v>
      </c>
      <c r="F962" s="73">
        <v>134885552</v>
      </c>
      <c r="G962" s="233" t="s">
        <v>457</v>
      </c>
      <c r="H962" s="73">
        <v>91284919</v>
      </c>
      <c r="I962" s="126">
        <v>1000</v>
      </c>
      <c r="J962" s="126">
        <v>1000</v>
      </c>
      <c r="K962" s="126">
        <v>0</v>
      </c>
      <c r="L962" s="73">
        <v>91284919</v>
      </c>
    </row>
    <row r="963" spans="1:12" ht="15" customHeight="1" x14ac:dyDescent="0.2">
      <c r="A963" s="130" t="s">
        <v>70</v>
      </c>
      <c r="B963" s="233" t="s">
        <v>457</v>
      </c>
      <c r="C963" s="233" t="s">
        <v>457</v>
      </c>
      <c r="D963" s="233" t="s">
        <v>457</v>
      </c>
      <c r="E963" s="73">
        <v>383768430</v>
      </c>
      <c r="F963" s="73">
        <v>269837946</v>
      </c>
      <c r="G963" s="233" t="s">
        <v>457</v>
      </c>
      <c r="H963" s="73">
        <v>113930484</v>
      </c>
      <c r="I963" s="126">
        <v>0</v>
      </c>
      <c r="J963" s="126">
        <v>0</v>
      </c>
      <c r="K963" s="126">
        <v>0</v>
      </c>
      <c r="L963" s="73">
        <v>113930484</v>
      </c>
    </row>
    <row r="964" spans="1:12" ht="15" customHeight="1" x14ac:dyDescent="0.2">
      <c r="A964" s="130" t="s">
        <v>73</v>
      </c>
      <c r="B964" s="233" t="s">
        <v>457</v>
      </c>
      <c r="C964" s="233" t="s">
        <v>457</v>
      </c>
      <c r="D964" s="233" t="s">
        <v>457</v>
      </c>
      <c r="E964" s="73">
        <v>397974424</v>
      </c>
      <c r="F964" s="73">
        <v>294514379</v>
      </c>
      <c r="G964" s="233" t="s">
        <v>457</v>
      </c>
      <c r="H964" s="73">
        <v>103460045</v>
      </c>
      <c r="I964" s="126">
        <v>0</v>
      </c>
      <c r="J964" s="126">
        <v>0</v>
      </c>
      <c r="K964" s="126">
        <v>0</v>
      </c>
      <c r="L964" s="73">
        <v>103460045</v>
      </c>
    </row>
    <row r="965" spans="1:12" ht="15" customHeight="1" x14ac:dyDescent="0.2">
      <c r="A965" s="130" t="s">
        <v>13</v>
      </c>
      <c r="B965" s="233" t="s">
        <v>457</v>
      </c>
      <c r="C965" s="233" t="s">
        <v>457</v>
      </c>
      <c r="D965" s="233" t="s">
        <v>457</v>
      </c>
      <c r="E965" s="73">
        <v>470276090</v>
      </c>
      <c r="F965" s="73">
        <v>363490392</v>
      </c>
      <c r="G965" s="233" t="s">
        <v>457</v>
      </c>
      <c r="H965" s="73">
        <v>106785698</v>
      </c>
      <c r="I965" s="73">
        <v>740238</v>
      </c>
      <c r="J965" s="73">
        <v>33523</v>
      </c>
      <c r="K965" s="73">
        <v>706715</v>
      </c>
      <c r="L965" s="73">
        <v>106078983</v>
      </c>
    </row>
    <row r="966" spans="1:12" ht="15" customHeight="1" x14ac:dyDescent="0.2">
      <c r="A966" s="130" t="s">
        <v>120</v>
      </c>
      <c r="B966" s="233" t="s">
        <v>457</v>
      </c>
      <c r="C966" s="233" t="s">
        <v>457</v>
      </c>
      <c r="D966" s="233" t="s">
        <v>457</v>
      </c>
      <c r="E966" s="73">
        <v>479117718</v>
      </c>
      <c r="F966" s="73">
        <v>380599458</v>
      </c>
      <c r="G966" s="233" t="s">
        <v>457</v>
      </c>
      <c r="H966" s="73">
        <v>98518260</v>
      </c>
      <c r="I966" s="73">
        <v>2272295</v>
      </c>
      <c r="J966" s="73">
        <v>295119</v>
      </c>
      <c r="K966" s="73">
        <v>1977176</v>
      </c>
      <c r="L966" s="73">
        <v>96541084</v>
      </c>
    </row>
    <row r="967" spans="1:12" ht="15" customHeight="1" x14ac:dyDescent="0.2">
      <c r="A967" s="130" t="s">
        <v>131</v>
      </c>
      <c r="B967" s="233" t="s">
        <v>457</v>
      </c>
      <c r="C967" s="233" t="s">
        <v>457</v>
      </c>
      <c r="D967" s="233" t="s">
        <v>457</v>
      </c>
      <c r="E967" s="73">
        <v>479521182</v>
      </c>
      <c r="F967" s="73">
        <v>392806553</v>
      </c>
      <c r="G967" s="233" t="s">
        <v>457</v>
      </c>
      <c r="H967" s="73">
        <v>86714629</v>
      </c>
      <c r="I967" s="73">
        <v>1087600</v>
      </c>
      <c r="J967" s="73">
        <v>1086573</v>
      </c>
      <c r="K967" s="73">
        <v>1027</v>
      </c>
      <c r="L967" s="73">
        <v>86713602</v>
      </c>
    </row>
    <row r="968" spans="1:12" ht="15" customHeight="1" x14ac:dyDescent="0.2">
      <c r="A968" s="130" t="s">
        <v>136</v>
      </c>
      <c r="B968" s="233" t="s">
        <v>457</v>
      </c>
      <c r="C968" s="233" t="s">
        <v>457</v>
      </c>
      <c r="D968" s="233" t="s">
        <v>457</v>
      </c>
      <c r="E968" s="73">
        <v>453651870</v>
      </c>
      <c r="F968" s="73">
        <v>394141865</v>
      </c>
      <c r="G968" s="233" t="s">
        <v>457</v>
      </c>
      <c r="H968" s="73">
        <v>59510005</v>
      </c>
      <c r="I968" s="73">
        <v>2341878</v>
      </c>
      <c r="J968" s="73">
        <v>1649405</v>
      </c>
      <c r="K968" s="73">
        <v>692473</v>
      </c>
      <c r="L968" s="73">
        <v>58817532</v>
      </c>
    </row>
    <row r="969" spans="1:12" ht="15" customHeight="1" x14ac:dyDescent="0.2">
      <c r="A969" s="130" t="s">
        <v>137</v>
      </c>
      <c r="B969" s="233" t="s">
        <v>457</v>
      </c>
      <c r="C969" s="233" t="s">
        <v>457</v>
      </c>
      <c r="D969" s="233" t="s">
        <v>457</v>
      </c>
      <c r="E969" s="73">
        <v>427207125</v>
      </c>
      <c r="F969" s="73">
        <v>382189807</v>
      </c>
      <c r="G969" s="233" t="s">
        <v>457</v>
      </c>
      <c r="H969" s="73">
        <v>45017318</v>
      </c>
      <c r="I969" s="73">
        <v>12998953</v>
      </c>
      <c r="J969" s="73">
        <v>10179156</v>
      </c>
      <c r="K969" s="73">
        <v>2819797</v>
      </c>
      <c r="L969" s="73">
        <v>42197521</v>
      </c>
    </row>
    <row r="970" spans="1:12" ht="15" customHeight="1" x14ac:dyDescent="0.2">
      <c r="A970" s="130" t="s">
        <v>138</v>
      </c>
      <c r="B970" s="233" t="s">
        <v>457</v>
      </c>
      <c r="C970" s="233" t="s">
        <v>457</v>
      </c>
      <c r="D970" s="233" t="s">
        <v>457</v>
      </c>
      <c r="E970" s="73">
        <v>370755137</v>
      </c>
      <c r="F970" s="73">
        <v>346625327</v>
      </c>
      <c r="G970" s="233" t="s">
        <v>457</v>
      </c>
      <c r="H970" s="73">
        <v>24129810</v>
      </c>
      <c r="I970" s="73">
        <v>6102299</v>
      </c>
      <c r="J970" s="73">
        <v>3709101</v>
      </c>
      <c r="K970" s="73">
        <v>2393198</v>
      </c>
      <c r="L970" s="73">
        <v>21736612</v>
      </c>
    </row>
    <row r="971" spans="1:12" ht="15" customHeight="1" x14ac:dyDescent="0.2">
      <c r="A971" s="130" t="s">
        <v>139</v>
      </c>
      <c r="B971" s="233" t="s">
        <v>457</v>
      </c>
      <c r="C971" s="233" t="s">
        <v>457</v>
      </c>
      <c r="D971" s="233" t="s">
        <v>457</v>
      </c>
      <c r="E971" s="73">
        <v>307781613</v>
      </c>
      <c r="F971" s="73">
        <v>293368546</v>
      </c>
      <c r="G971" s="233" t="s">
        <v>457</v>
      </c>
      <c r="H971" s="73">
        <v>14413067</v>
      </c>
      <c r="I971" s="73">
        <v>3551141</v>
      </c>
      <c r="J971" s="73">
        <v>1620797</v>
      </c>
      <c r="K971" s="73">
        <v>1930344</v>
      </c>
      <c r="L971" s="73">
        <v>12482723</v>
      </c>
    </row>
    <row r="972" spans="1:12" ht="15" customHeight="1" x14ac:dyDescent="0.2">
      <c r="A972" s="130" t="s">
        <v>140</v>
      </c>
      <c r="B972" s="233" t="s">
        <v>457</v>
      </c>
      <c r="C972" s="233" t="s">
        <v>457</v>
      </c>
      <c r="D972" s="233" t="s">
        <v>457</v>
      </c>
      <c r="E972" s="73">
        <v>321301010</v>
      </c>
      <c r="F972" s="73">
        <v>313038200</v>
      </c>
      <c r="G972" s="233" t="s">
        <v>457</v>
      </c>
      <c r="H972" s="73">
        <v>8262810</v>
      </c>
      <c r="I972" s="73">
        <v>30205577</v>
      </c>
      <c r="J972" s="73">
        <v>4562729</v>
      </c>
      <c r="K972" s="73">
        <v>25642848</v>
      </c>
      <c r="L972" s="73">
        <v>-17380038</v>
      </c>
    </row>
    <row r="973" spans="1:12" ht="15" customHeight="1" x14ac:dyDescent="0.2">
      <c r="A973" s="130" t="s">
        <v>141</v>
      </c>
      <c r="B973" s="233" t="s">
        <v>457</v>
      </c>
      <c r="C973" s="233" t="s">
        <v>457</v>
      </c>
      <c r="D973" s="233" t="s">
        <v>457</v>
      </c>
      <c r="E973" s="73">
        <v>397097007</v>
      </c>
      <c r="F973" s="73">
        <v>392062400</v>
      </c>
      <c r="G973" s="233" t="s">
        <v>457</v>
      </c>
      <c r="H973" s="73">
        <v>5034607</v>
      </c>
      <c r="I973" s="73">
        <v>49635549</v>
      </c>
      <c r="J973" s="73">
        <v>36119171</v>
      </c>
      <c r="K973" s="73">
        <v>13516378</v>
      </c>
      <c r="L973" s="73">
        <v>-8481771</v>
      </c>
    </row>
    <row r="974" spans="1:12" ht="15" customHeight="1" x14ac:dyDescent="0.2">
      <c r="A974" s="130" t="s">
        <v>144</v>
      </c>
      <c r="B974" s="233" t="s">
        <v>457</v>
      </c>
      <c r="C974" s="233" t="s">
        <v>457</v>
      </c>
      <c r="D974" s="233" t="s">
        <v>457</v>
      </c>
      <c r="E974" s="73">
        <v>306231013</v>
      </c>
      <c r="F974" s="73">
        <v>302749655</v>
      </c>
      <c r="G974" s="233" t="s">
        <v>457</v>
      </c>
      <c r="H974" s="73">
        <v>3481358</v>
      </c>
      <c r="I974" s="73">
        <v>21213288</v>
      </c>
      <c r="J974" s="73">
        <v>21091402</v>
      </c>
      <c r="K974" s="73">
        <v>121886</v>
      </c>
      <c r="L974" s="73">
        <v>3359472</v>
      </c>
    </row>
    <row r="975" spans="1:12" ht="15" customHeight="1" x14ac:dyDescent="0.2">
      <c r="A975" s="130" t="s">
        <v>145</v>
      </c>
      <c r="B975" s="233" t="s">
        <v>457</v>
      </c>
      <c r="C975" s="233" t="s">
        <v>457</v>
      </c>
      <c r="D975" s="233" t="s">
        <v>457</v>
      </c>
      <c r="E975" s="73">
        <v>271888512</v>
      </c>
      <c r="F975" s="73">
        <v>268969947</v>
      </c>
      <c r="G975" s="233" t="s">
        <v>457</v>
      </c>
      <c r="H975" s="73">
        <v>2918565</v>
      </c>
      <c r="I975" s="73">
        <v>7805759</v>
      </c>
      <c r="J975" s="73">
        <v>7767455</v>
      </c>
      <c r="K975" s="73">
        <v>38304</v>
      </c>
      <c r="L975" s="73">
        <v>2880261</v>
      </c>
    </row>
    <row r="976" spans="1:12" ht="15" customHeight="1" x14ac:dyDescent="0.2">
      <c r="A976" s="130" t="s">
        <v>148</v>
      </c>
      <c r="B976" s="233" t="s">
        <v>457</v>
      </c>
      <c r="C976" s="233" t="s">
        <v>457</v>
      </c>
      <c r="D976" s="233" t="s">
        <v>457</v>
      </c>
      <c r="E976" s="73">
        <v>206780256</v>
      </c>
      <c r="F976" s="73">
        <v>204404230</v>
      </c>
      <c r="G976" s="233" t="s">
        <v>457</v>
      </c>
      <c r="H976" s="73">
        <v>2376026</v>
      </c>
      <c r="I976" s="73">
        <v>9671809</v>
      </c>
      <c r="J976" s="73">
        <v>8335922</v>
      </c>
      <c r="K976" s="73">
        <v>1335887</v>
      </c>
      <c r="L976" s="73">
        <v>1040139</v>
      </c>
    </row>
    <row r="977" spans="1:12" ht="15" customHeight="1" x14ac:dyDescent="0.2">
      <c r="A977" s="130" t="s">
        <v>152</v>
      </c>
      <c r="B977" s="233" t="s">
        <v>457</v>
      </c>
      <c r="C977" s="233" t="s">
        <v>457</v>
      </c>
      <c r="D977" s="233" t="s">
        <v>457</v>
      </c>
      <c r="E977" s="73">
        <v>96766913</v>
      </c>
      <c r="F977" s="73">
        <v>94441109</v>
      </c>
      <c r="G977" s="233" t="s">
        <v>457</v>
      </c>
      <c r="H977" s="73">
        <v>2325804</v>
      </c>
      <c r="I977" s="73">
        <v>9346050</v>
      </c>
      <c r="J977" s="73">
        <v>9332615</v>
      </c>
      <c r="K977" s="73">
        <v>13435</v>
      </c>
      <c r="L977" s="73">
        <v>2312369</v>
      </c>
    </row>
    <row r="978" spans="1:12" ht="15" customHeight="1" x14ac:dyDescent="0.2">
      <c r="A978" s="130" t="s">
        <v>153</v>
      </c>
      <c r="B978" s="233" t="s">
        <v>457</v>
      </c>
      <c r="C978" s="233" t="s">
        <v>457</v>
      </c>
      <c r="D978" s="233" t="s">
        <v>457</v>
      </c>
      <c r="E978" s="73">
        <v>77997537</v>
      </c>
      <c r="F978" s="73">
        <v>75747948</v>
      </c>
      <c r="G978" s="233" t="s">
        <v>457</v>
      </c>
      <c r="H978" s="73">
        <v>2249589</v>
      </c>
      <c r="I978" s="73">
        <v>8640889</v>
      </c>
      <c r="J978" s="73">
        <v>8625421</v>
      </c>
      <c r="K978" s="73">
        <v>15468</v>
      </c>
      <c r="L978" s="73">
        <v>2234121</v>
      </c>
    </row>
    <row r="979" spans="1:12" ht="15" customHeight="1" x14ac:dyDescent="0.2">
      <c r="A979" s="130" t="s">
        <v>154</v>
      </c>
      <c r="B979" s="233" t="s">
        <v>457</v>
      </c>
      <c r="C979" s="233" t="s">
        <v>457</v>
      </c>
      <c r="D979" s="233" t="s">
        <v>457</v>
      </c>
      <c r="E979" s="73">
        <v>81068605</v>
      </c>
      <c r="F979" s="73">
        <v>78952207</v>
      </c>
      <c r="G979" s="233" t="s">
        <v>457</v>
      </c>
      <c r="H979" s="73">
        <v>2116398</v>
      </c>
      <c r="I979" s="73">
        <v>10530975</v>
      </c>
      <c r="J979" s="73">
        <v>10520264</v>
      </c>
      <c r="K979" s="73">
        <v>10711</v>
      </c>
      <c r="L979" s="73">
        <v>2105687</v>
      </c>
    </row>
    <row r="980" spans="1:12" ht="15" customHeight="1" x14ac:dyDescent="0.2">
      <c r="A980" s="130" t="s">
        <v>155</v>
      </c>
      <c r="B980" s="233" t="s">
        <v>457</v>
      </c>
      <c r="C980" s="233" t="s">
        <v>457</v>
      </c>
      <c r="D980" s="233" t="s">
        <v>457</v>
      </c>
      <c r="E980" s="73">
        <v>34304426</v>
      </c>
      <c r="F980" s="73">
        <v>32307808</v>
      </c>
      <c r="G980" s="233" t="s">
        <v>457</v>
      </c>
      <c r="H980" s="73">
        <v>1996618</v>
      </c>
      <c r="I980" s="73">
        <v>79460</v>
      </c>
      <c r="J980" s="73">
        <v>78754</v>
      </c>
      <c r="K980" s="73">
        <v>706</v>
      </c>
      <c r="L980" s="73">
        <v>1995912</v>
      </c>
    </row>
    <row r="981" spans="1:12" ht="15" customHeight="1" x14ac:dyDescent="0.2">
      <c r="A981" s="130" t="s">
        <v>364</v>
      </c>
      <c r="B981" s="233" t="s">
        <v>457</v>
      </c>
      <c r="C981" s="233" t="s">
        <v>457</v>
      </c>
      <c r="D981" s="233" t="s">
        <v>457</v>
      </c>
      <c r="E981" s="73">
        <v>60498795</v>
      </c>
      <c r="F981" s="73">
        <v>58158211</v>
      </c>
      <c r="G981" s="233" t="s">
        <v>457</v>
      </c>
      <c r="H981" s="73">
        <v>2340584</v>
      </c>
      <c r="I981" s="73">
        <v>3893180</v>
      </c>
      <c r="J981" s="73">
        <v>3825038</v>
      </c>
      <c r="K981" s="73">
        <v>68142</v>
      </c>
      <c r="L981" s="73">
        <v>2272442</v>
      </c>
    </row>
    <row r="982" spans="1:12" ht="15" customHeight="1" x14ac:dyDescent="0.2">
      <c r="A982" s="130" t="s">
        <v>156</v>
      </c>
      <c r="B982" s="233" t="s">
        <v>457</v>
      </c>
      <c r="C982" s="233" t="s">
        <v>457</v>
      </c>
      <c r="D982" s="233" t="s">
        <v>457</v>
      </c>
      <c r="E982" s="73">
        <v>43009067</v>
      </c>
      <c r="F982" s="73">
        <v>43009067</v>
      </c>
      <c r="G982" s="233" t="s">
        <v>457</v>
      </c>
      <c r="H982" s="126">
        <v>0</v>
      </c>
      <c r="I982" s="73">
        <v>4838266</v>
      </c>
      <c r="J982" s="73">
        <v>4811695</v>
      </c>
      <c r="K982" s="73">
        <v>26571</v>
      </c>
      <c r="L982" s="73">
        <v>-26571</v>
      </c>
    </row>
    <row r="983" spans="1:12" ht="15" customHeight="1" x14ac:dyDescent="0.2">
      <c r="A983" s="130" t="s">
        <v>159</v>
      </c>
      <c r="B983" s="233" t="s">
        <v>457</v>
      </c>
      <c r="C983" s="233" t="s">
        <v>457</v>
      </c>
      <c r="D983" s="233" t="s">
        <v>457</v>
      </c>
      <c r="E983" s="73">
        <v>11520157</v>
      </c>
      <c r="F983" s="73">
        <v>11520157</v>
      </c>
      <c r="G983" s="233" t="s">
        <v>457</v>
      </c>
      <c r="H983" s="126">
        <v>0</v>
      </c>
      <c r="I983" s="73">
        <v>1361039</v>
      </c>
      <c r="J983" s="73">
        <v>1360549</v>
      </c>
      <c r="K983" s="73">
        <v>490</v>
      </c>
      <c r="L983" s="73">
        <v>-490</v>
      </c>
    </row>
    <row r="984" spans="1:12" ht="15" customHeight="1" x14ac:dyDescent="0.2">
      <c r="A984" s="130" t="s">
        <v>163</v>
      </c>
      <c r="B984" s="233" t="s">
        <v>457</v>
      </c>
      <c r="C984" s="233" t="s">
        <v>457</v>
      </c>
      <c r="D984" s="233" t="s">
        <v>457</v>
      </c>
      <c r="E984" s="73">
        <v>15397834</v>
      </c>
      <c r="F984" s="73">
        <v>15397834</v>
      </c>
      <c r="G984" s="233" t="s">
        <v>457</v>
      </c>
      <c r="H984" s="126">
        <v>0</v>
      </c>
      <c r="I984" s="73">
        <v>3960924</v>
      </c>
      <c r="J984" s="73">
        <v>3611255</v>
      </c>
      <c r="K984" s="73">
        <v>349669</v>
      </c>
      <c r="L984" s="73">
        <v>-349669</v>
      </c>
    </row>
    <row r="985" spans="1:12" ht="15" customHeight="1" x14ac:dyDescent="0.2">
      <c r="A985" s="130" t="s">
        <v>367</v>
      </c>
      <c r="B985" s="233" t="s">
        <v>457</v>
      </c>
      <c r="C985" s="233" t="s">
        <v>457</v>
      </c>
      <c r="D985" s="233" t="s">
        <v>457</v>
      </c>
      <c r="E985" s="73">
        <v>17944440</v>
      </c>
      <c r="F985" s="73">
        <v>17944440</v>
      </c>
      <c r="G985" s="233" t="s">
        <v>457</v>
      </c>
      <c r="H985" s="126">
        <v>0</v>
      </c>
      <c r="I985" s="73">
        <v>1565577</v>
      </c>
      <c r="J985" s="73">
        <v>1525010</v>
      </c>
      <c r="K985" s="73">
        <v>40567</v>
      </c>
      <c r="L985" s="73">
        <v>-40567</v>
      </c>
    </row>
    <row r="986" spans="1:12" ht="15" customHeight="1" x14ac:dyDescent="0.2">
      <c r="A986" s="130" t="s">
        <v>368</v>
      </c>
      <c r="B986" s="233" t="s">
        <v>457</v>
      </c>
      <c r="C986" s="233" t="s">
        <v>457</v>
      </c>
      <c r="D986" s="233" t="s">
        <v>457</v>
      </c>
      <c r="E986" s="73">
        <v>8195968</v>
      </c>
      <c r="F986" s="73">
        <v>8195968</v>
      </c>
      <c r="G986" s="233" t="s">
        <v>457</v>
      </c>
      <c r="H986" s="126">
        <v>0</v>
      </c>
      <c r="I986" s="73">
        <v>880183</v>
      </c>
      <c r="J986" s="73">
        <v>879682</v>
      </c>
      <c r="K986" s="73">
        <v>501</v>
      </c>
      <c r="L986" s="73">
        <v>-501</v>
      </c>
    </row>
    <row r="987" spans="1:12" ht="15" customHeight="1" x14ac:dyDescent="0.2">
      <c r="A987" s="130" t="s">
        <v>369</v>
      </c>
      <c r="B987" s="233" t="s">
        <v>457</v>
      </c>
      <c r="C987" s="233" t="s">
        <v>457</v>
      </c>
      <c r="D987" s="233" t="s">
        <v>457</v>
      </c>
      <c r="E987" s="73">
        <v>8055062</v>
      </c>
      <c r="F987" s="73">
        <v>8055062</v>
      </c>
      <c r="G987" s="233" t="s">
        <v>457</v>
      </c>
      <c r="H987" s="126">
        <v>0</v>
      </c>
      <c r="I987" s="73">
        <v>803598</v>
      </c>
      <c r="J987" s="73">
        <v>803123</v>
      </c>
      <c r="K987" s="73">
        <v>475</v>
      </c>
      <c r="L987" s="73">
        <v>-475</v>
      </c>
    </row>
    <row r="988" spans="1:12" ht="15" customHeight="1" x14ac:dyDescent="0.2">
      <c r="A988" s="130" t="s">
        <v>370</v>
      </c>
      <c r="B988" s="233" t="s">
        <v>457</v>
      </c>
      <c r="C988" s="233" t="s">
        <v>457</v>
      </c>
      <c r="D988" s="233" t="s">
        <v>457</v>
      </c>
      <c r="E988" s="73">
        <v>7376797</v>
      </c>
      <c r="F988" s="73">
        <v>7376797</v>
      </c>
      <c r="G988" s="233" t="s">
        <v>457</v>
      </c>
      <c r="H988" s="126">
        <v>0</v>
      </c>
      <c r="I988" s="73">
        <v>727817</v>
      </c>
      <c r="J988" s="73">
        <v>726917</v>
      </c>
      <c r="K988" s="73">
        <v>900</v>
      </c>
      <c r="L988" s="73">
        <v>-900</v>
      </c>
    </row>
    <row r="989" spans="1:12" ht="15" customHeight="1" x14ac:dyDescent="0.2">
      <c r="A989" s="130" t="s">
        <v>371</v>
      </c>
      <c r="B989" s="233" t="s">
        <v>457</v>
      </c>
      <c r="C989" s="233" t="s">
        <v>457</v>
      </c>
      <c r="D989" s="233" t="s">
        <v>457</v>
      </c>
      <c r="E989" s="73">
        <v>7513308</v>
      </c>
      <c r="F989" s="73">
        <v>7513308</v>
      </c>
      <c r="G989" s="233" t="s">
        <v>457</v>
      </c>
      <c r="H989" s="126">
        <v>0</v>
      </c>
      <c r="I989" s="73">
        <v>588899</v>
      </c>
      <c r="J989" s="73">
        <v>588367</v>
      </c>
      <c r="K989" s="73">
        <v>532</v>
      </c>
      <c r="L989" s="73">
        <v>-532</v>
      </c>
    </row>
    <row r="990" spans="1:12" ht="15" customHeight="1" x14ac:dyDescent="0.2">
      <c r="A990" s="234" t="s">
        <v>467</v>
      </c>
      <c r="B990" s="228" t="s">
        <v>457</v>
      </c>
      <c r="C990" s="228" t="s">
        <v>457</v>
      </c>
      <c r="D990" s="228" t="s">
        <v>457</v>
      </c>
      <c r="E990" s="117">
        <f>SUBTOTAL(109,schoolgrandtotal[Program
Costs])</f>
        <v>6197327151</v>
      </c>
      <c r="F990" s="117">
        <f>SUM(F953:F989)</f>
        <v>5358761091</v>
      </c>
      <c r="G990" s="228" t="s">
        <v>457</v>
      </c>
      <c r="H990" s="117">
        <f>SUBTOTAL(109,schoolgrandtotal[Accounts Payable
Balance])</f>
        <v>838566060</v>
      </c>
      <c r="I990" s="117">
        <f>SUBTOTAL(109,schoolgrandtotal[Established
Accounts Receivable])</f>
        <v>195262044</v>
      </c>
      <c r="J990" s="117">
        <f>SUBTOTAL(109,schoolgrandtotal[Less: 
Recovered 
Amount])</f>
        <v>143556844</v>
      </c>
      <c r="K990" s="117">
        <f>SUBTOTAL(109,schoolgrandtotal[Accounts Receivable
Balance])</f>
        <v>51705200</v>
      </c>
      <c r="L990" s="117">
        <f>SUBTOTAL(109,schoolgrandtotal[Net
Balance])</f>
        <v>786860860</v>
      </c>
    </row>
    <row r="991" spans="1:12" x14ac:dyDescent="0.2">
      <c r="A991" s="209" t="s">
        <v>588</v>
      </c>
    </row>
    <row r="992" spans="1:12" ht="18" x14ac:dyDescent="0.2">
      <c r="A992" s="119" t="s">
        <v>593</v>
      </c>
    </row>
  </sheetData>
  <hyperlinks>
    <hyperlink ref="F2" location="'Schedule B1-School Districts'!A991" display="'Schedule B1-School Districts'!A991"/>
  </hyperlinks>
  <printOptions horizontalCentered="1" gridLines="1"/>
  <pageMargins left="0.3" right="0.3" top="1.1000000000000001" bottom="1" header="0.3" footer="0.1"/>
  <pageSetup scale="45" fitToHeight="0" orientation="landscape" r:id="rId1"/>
  <headerFooter>
    <oddFooter>&amp;LSchedule B1: Detail of Funded State-Mandated Programs by Fiscal Year
School Districts&amp;RPage &amp;P of &amp;N</oddFooter>
  </headerFooter>
  <rowBreaks count="2" manualBreakCount="2">
    <brk id="85" max="16383" man="1"/>
    <brk id="939" max="16383" man="1"/>
  </rowBreaks>
  <legacyDrawing r:id="rId2"/>
  <tableParts count="3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46"/>
  <sheetViews>
    <sheetView zoomScale="85" zoomScaleNormal="85" zoomScalePageLayoutView="90" workbookViewId="0">
      <selection activeCell="A3" activeCellId="1" sqref="A9:XFD9 A3:XFD3"/>
    </sheetView>
  </sheetViews>
  <sheetFormatPr defaultColWidth="9.140625" defaultRowHeight="15" x14ac:dyDescent="0.2"/>
  <cols>
    <col min="1" max="1" width="44.5703125" style="109" customWidth="1"/>
    <col min="2" max="2" width="54.85546875" style="215" customWidth="1"/>
    <col min="3" max="3" width="21.7109375" style="216" bestFit="1" customWidth="1"/>
    <col min="4" max="4" width="14.5703125" style="109" customWidth="1"/>
    <col min="5" max="5" width="25.7109375" style="254" bestFit="1" customWidth="1"/>
    <col min="6" max="6" width="26.42578125" style="254" bestFit="1" customWidth="1"/>
    <col min="7" max="7" width="2.5703125" style="254" customWidth="1"/>
    <col min="8" max="8" width="25.7109375" style="254" bestFit="1" customWidth="1"/>
    <col min="9" max="10" width="23.140625" style="254" bestFit="1" customWidth="1"/>
    <col min="11" max="11" width="21.28515625" style="254" bestFit="1" customWidth="1"/>
    <col min="12" max="12" width="25.7109375" style="254" bestFit="1" customWidth="1"/>
    <col min="13" max="16384" width="9.140625" style="99"/>
  </cols>
  <sheetData>
    <row r="1" spans="1:12" ht="54" customHeight="1" x14ac:dyDescent="0.2">
      <c r="A1" s="82" t="s">
        <v>585</v>
      </c>
      <c r="B1" s="82"/>
      <c r="C1" s="83"/>
      <c r="D1" s="83"/>
      <c r="E1" s="223"/>
      <c r="F1" s="223"/>
      <c r="G1" s="223"/>
      <c r="H1" s="223"/>
      <c r="I1" s="223"/>
      <c r="J1" s="223"/>
      <c r="K1" s="223"/>
      <c r="L1" s="223"/>
    </row>
    <row r="2" spans="1:12" ht="50.1" customHeight="1" x14ac:dyDescent="0.2">
      <c r="A2" s="40" t="s">
        <v>1</v>
      </c>
      <c r="B2" s="40" t="s">
        <v>15</v>
      </c>
      <c r="C2" s="40" t="s">
        <v>16</v>
      </c>
      <c r="D2" s="40" t="s">
        <v>454</v>
      </c>
      <c r="E2" s="230" t="s">
        <v>3</v>
      </c>
      <c r="F2" s="195" t="s">
        <v>596</v>
      </c>
      <c r="G2" s="237" t="s">
        <v>466</v>
      </c>
      <c r="H2" s="230" t="s">
        <v>461</v>
      </c>
      <c r="I2" s="197" t="s">
        <v>460</v>
      </c>
      <c r="J2" s="230" t="s">
        <v>459</v>
      </c>
      <c r="K2" s="230" t="s">
        <v>458</v>
      </c>
      <c r="L2" s="230" t="s">
        <v>17</v>
      </c>
    </row>
    <row r="3" spans="1:12" ht="30" customHeight="1" x14ac:dyDescent="0.2">
      <c r="A3" s="103" t="s">
        <v>67</v>
      </c>
      <c r="B3" s="198" t="s">
        <v>195</v>
      </c>
      <c r="C3" s="37" t="s">
        <v>196</v>
      </c>
      <c r="D3" s="103">
        <v>232</v>
      </c>
      <c r="E3" s="122">
        <v>54721</v>
      </c>
      <c r="F3" s="122">
        <v>8356</v>
      </c>
      <c r="G3" s="238" t="s">
        <v>457</v>
      </c>
      <c r="H3" s="122">
        <v>46365</v>
      </c>
      <c r="I3" s="199">
        <v>0</v>
      </c>
      <c r="J3" s="199">
        <v>0</v>
      </c>
      <c r="K3" s="199">
        <v>0</v>
      </c>
      <c r="L3" s="122">
        <v>46365</v>
      </c>
    </row>
    <row r="4" spans="1:12" ht="15" customHeight="1" x14ac:dyDescent="0.2">
      <c r="A4" s="103" t="s">
        <v>67</v>
      </c>
      <c r="B4" s="198" t="s">
        <v>197</v>
      </c>
      <c r="C4" s="37" t="s">
        <v>198</v>
      </c>
      <c r="D4" s="103">
        <v>267</v>
      </c>
      <c r="E4" s="122">
        <v>321143</v>
      </c>
      <c r="F4" s="122">
        <v>121251</v>
      </c>
      <c r="G4" s="238" t="s">
        <v>457</v>
      </c>
      <c r="H4" s="122">
        <v>199892</v>
      </c>
      <c r="I4" s="199">
        <v>0</v>
      </c>
      <c r="J4" s="199">
        <v>0</v>
      </c>
      <c r="K4" s="199">
        <v>0</v>
      </c>
      <c r="L4" s="122">
        <v>199892</v>
      </c>
    </row>
    <row r="5" spans="1:12" ht="15" customHeight="1" x14ac:dyDescent="0.2">
      <c r="A5" s="103" t="s">
        <v>67</v>
      </c>
      <c r="B5" s="198" t="s">
        <v>199</v>
      </c>
      <c r="C5" s="37" t="s">
        <v>200</v>
      </c>
      <c r="D5" s="103">
        <v>347</v>
      </c>
      <c r="E5" s="199">
        <v>0</v>
      </c>
      <c r="F5" s="199">
        <v>0</v>
      </c>
      <c r="G5" s="238" t="s">
        <v>457</v>
      </c>
      <c r="H5" s="199">
        <v>0</v>
      </c>
      <c r="I5" s="122">
        <v>1000</v>
      </c>
      <c r="J5" s="199">
        <v>0</v>
      </c>
      <c r="K5" s="122">
        <v>1000</v>
      </c>
      <c r="L5" s="122">
        <v>-1000</v>
      </c>
    </row>
    <row r="6" spans="1:12" s="229" customFormat="1" ht="15" customHeight="1" x14ac:dyDescent="0.2">
      <c r="A6" s="206" t="s">
        <v>379</v>
      </c>
      <c r="B6" s="239" t="s">
        <v>457</v>
      </c>
      <c r="C6" s="239" t="s">
        <v>457</v>
      </c>
      <c r="D6" s="239" t="s">
        <v>457</v>
      </c>
      <c r="E6" s="117">
        <f>SUBTOTAL(109,college201415[Program
Costs])</f>
        <v>375864</v>
      </c>
      <c r="F6" s="117">
        <f>SUBTOTAL(109,college201415[Less: Net
 Payments and 
Offsets 2])</f>
        <v>129607</v>
      </c>
      <c r="G6" s="239" t="s">
        <v>457</v>
      </c>
      <c r="H6" s="117">
        <f>SUBTOTAL(109,college201415[Accounts Payable
Balance])</f>
        <v>246257</v>
      </c>
      <c r="I6" s="117">
        <f>SUBTOTAL(109,college201415[Established
Accounts Receivable])</f>
        <v>1000</v>
      </c>
      <c r="J6" s="204">
        <f>SUBTOTAL(109,college201415[Less: 
Recovered 
Amount])</f>
        <v>0</v>
      </c>
      <c r="K6" s="117">
        <f>SUBTOTAL(109,college201415[Accounts Receivable
Balance])</f>
        <v>1000</v>
      </c>
      <c r="L6" s="117">
        <f>SUBTOTAL(109,college201415[Net
Balance])</f>
        <v>245257</v>
      </c>
    </row>
    <row r="7" spans="1:12" s="244" customFormat="1" ht="15.75" customHeight="1" x14ac:dyDescent="0.2">
      <c r="A7" s="169" t="s">
        <v>463</v>
      </c>
      <c r="B7" s="240"/>
      <c r="C7" s="119"/>
      <c r="D7" s="103"/>
      <c r="E7" s="241"/>
      <c r="F7" s="241"/>
      <c r="G7" s="242"/>
      <c r="H7" s="241"/>
      <c r="I7" s="241"/>
      <c r="J7" s="243"/>
      <c r="K7" s="241"/>
      <c r="L7" s="211"/>
    </row>
    <row r="8" spans="1:12" ht="50.1" customHeight="1" x14ac:dyDescent="0.2">
      <c r="A8" s="40" t="s">
        <v>1</v>
      </c>
      <c r="B8" s="40" t="s">
        <v>15</v>
      </c>
      <c r="C8" s="40" t="s">
        <v>16</v>
      </c>
      <c r="D8" s="40" t="s">
        <v>454</v>
      </c>
      <c r="E8" s="230" t="s">
        <v>3</v>
      </c>
      <c r="F8" s="40" t="s">
        <v>592</v>
      </c>
      <c r="G8" s="245" t="s">
        <v>462</v>
      </c>
      <c r="H8" s="230" t="s">
        <v>461</v>
      </c>
      <c r="I8" s="197" t="s">
        <v>460</v>
      </c>
      <c r="J8" s="230" t="s">
        <v>459</v>
      </c>
      <c r="K8" s="230" t="s">
        <v>458</v>
      </c>
      <c r="L8" s="230" t="s">
        <v>17</v>
      </c>
    </row>
    <row r="9" spans="1:12" ht="30" customHeight="1" x14ac:dyDescent="0.2">
      <c r="A9" s="103" t="s">
        <v>68</v>
      </c>
      <c r="B9" s="198" t="s">
        <v>195</v>
      </c>
      <c r="C9" s="37" t="s">
        <v>196</v>
      </c>
      <c r="D9" s="103">
        <v>232</v>
      </c>
      <c r="E9" s="122">
        <v>488941</v>
      </c>
      <c r="F9" s="122">
        <v>439154</v>
      </c>
      <c r="G9" s="238" t="s">
        <v>457</v>
      </c>
      <c r="H9" s="122">
        <v>49787</v>
      </c>
      <c r="I9" s="199">
        <v>0</v>
      </c>
      <c r="J9" s="199">
        <v>0</v>
      </c>
      <c r="K9" s="199">
        <v>0</v>
      </c>
      <c r="L9" s="122">
        <v>49787</v>
      </c>
    </row>
    <row r="10" spans="1:12" ht="15" customHeight="1" x14ac:dyDescent="0.2">
      <c r="A10" s="103" t="s">
        <v>68</v>
      </c>
      <c r="B10" s="198" t="s">
        <v>197</v>
      </c>
      <c r="C10" s="37" t="s">
        <v>198</v>
      </c>
      <c r="D10" s="103">
        <v>267</v>
      </c>
      <c r="E10" s="122">
        <v>390536</v>
      </c>
      <c r="F10" s="122">
        <v>241191</v>
      </c>
      <c r="G10" s="238" t="s">
        <v>457</v>
      </c>
      <c r="H10" s="122">
        <v>149345</v>
      </c>
      <c r="I10" s="199">
        <v>0</v>
      </c>
      <c r="J10" s="199">
        <v>0</v>
      </c>
      <c r="K10" s="199">
        <v>0</v>
      </c>
      <c r="L10" s="122">
        <v>149345</v>
      </c>
    </row>
    <row r="11" spans="1:12" s="229" customFormat="1" ht="15" customHeight="1" x14ac:dyDescent="0.2">
      <c r="A11" s="103" t="s">
        <v>68</v>
      </c>
      <c r="B11" s="198" t="s">
        <v>199</v>
      </c>
      <c r="C11" s="37" t="s">
        <v>200</v>
      </c>
      <c r="D11" s="103">
        <v>347</v>
      </c>
      <c r="E11" s="199">
        <v>0</v>
      </c>
      <c r="F11" s="199">
        <v>0</v>
      </c>
      <c r="G11" s="238" t="s">
        <v>457</v>
      </c>
      <c r="H11" s="199">
        <v>0</v>
      </c>
      <c r="I11" s="122">
        <v>1000</v>
      </c>
      <c r="J11" s="199">
        <v>0</v>
      </c>
      <c r="K11" s="122">
        <v>1000</v>
      </c>
      <c r="L11" s="122">
        <v>-1000</v>
      </c>
    </row>
    <row r="12" spans="1:12" s="244" customFormat="1" ht="15" customHeight="1" x14ac:dyDescent="0.2">
      <c r="A12" s="206" t="s">
        <v>380</v>
      </c>
      <c r="B12" s="239" t="s">
        <v>457</v>
      </c>
      <c r="C12" s="239" t="s">
        <v>457</v>
      </c>
      <c r="D12" s="239" t="s">
        <v>457</v>
      </c>
      <c r="E12" s="117">
        <f>SUBTOTAL(109,college201314[Program
Costs])</f>
        <v>879477</v>
      </c>
      <c r="F12" s="117">
        <f>SUBTOTAL(109,college201314[Less: Net
 Payments and 
Offsets 2])</f>
        <v>680345</v>
      </c>
      <c r="G12" s="239" t="s">
        <v>457</v>
      </c>
      <c r="H12" s="117">
        <f>SUBTOTAL(109,college201314[Accounts Payable
Balance])</f>
        <v>199132</v>
      </c>
      <c r="I12" s="117">
        <f>SUBTOTAL(109,college201314[Established
Accounts Receivable])</f>
        <v>1000</v>
      </c>
      <c r="J12" s="204">
        <f>SUBTOTAL(109,college201314[Less: 
Recovered 
Amount])</f>
        <v>0</v>
      </c>
      <c r="K12" s="117">
        <f>SUBTOTAL(109,college201314[Accounts Receivable
Balance])</f>
        <v>1000</v>
      </c>
      <c r="L12" s="117">
        <f>SUBTOTAL(109,college201314[Net
Balance])</f>
        <v>198132</v>
      </c>
    </row>
    <row r="13" spans="1:12" ht="15.75" customHeight="1" x14ac:dyDescent="0.2">
      <c r="A13" s="169" t="s">
        <v>463</v>
      </c>
      <c r="B13" s="240"/>
      <c r="C13" s="119"/>
      <c r="D13" s="103"/>
      <c r="E13" s="241"/>
      <c r="F13" s="241"/>
      <c r="G13" s="242"/>
      <c r="H13" s="241"/>
      <c r="I13" s="241"/>
      <c r="J13" s="243"/>
      <c r="K13" s="241"/>
      <c r="L13" s="211"/>
    </row>
    <row r="14" spans="1:12" ht="50.1" customHeight="1" x14ac:dyDescent="0.2">
      <c r="A14" s="40" t="s">
        <v>1</v>
      </c>
      <c r="B14" s="40" t="s">
        <v>15</v>
      </c>
      <c r="C14" s="40" t="s">
        <v>16</v>
      </c>
      <c r="D14" s="40" t="s">
        <v>454</v>
      </c>
      <c r="E14" s="230" t="s">
        <v>3</v>
      </c>
      <c r="F14" s="40" t="s">
        <v>592</v>
      </c>
      <c r="G14" s="245" t="s">
        <v>462</v>
      </c>
      <c r="H14" s="230" t="s">
        <v>461</v>
      </c>
      <c r="I14" s="197" t="s">
        <v>460</v>
      </c>
      <c r="J14" s="230" t="s">
        <v>459</v>
      </c>
      <c r="K14" s="230" t="s">
        <v>458</v>
      </c>
      <c r="L14" s="230" t="s">
        <v>17</v>
      </c>
    </row>
    <row r="15" spans="1:12" ht="30" customHeight="1" x14ac:dyDescent="0.2">
      <c r="A15" s="103" t="s">
        <v>69</v>
      </c>
      <c r="B15" s="198" t="s">
        <v>195</v>
      </c>
      <c r="C15" s="37" t="s">
        <v>196</v>
      </c>
      <c r="D15" s="103">
        <v>232</v>
      </c>
      <c r="E15" s="122">
        <v>233153</v>
      </c>
      <c r="F15" s="122">
        <v>161629</v>
      </c>
      <c r="G15" s="238" t="s">
        <v>457</v>
      </c>
      <c r="H15" s="122">
        <v>71524</v>
      </c>
      <c r="I15" s="199">
        <v>0</v>
      </c>
      <c r="J15" s="199">
        <v>0</v>
      </c>
      <c r="K15" s="199">
        <v>0</v>
      </c>
      <c r="L15" s="122">
        <v>71524</v>
      </c>
    </row>
    <row r="16" spans="1:12" ht="15" customHeight="1" x14ac:dyDescent="0.2">
      <c r="A16" s="103" t="s">
        <v>69</v>
      </c>
      <c r="B16" s="198" t="s">
        <v>197</v>
      </c>
      <c r="C16" s="37" t="s">
        <v>198</v>
      </c>
      <c r="D16" s="103">
        <v>267</v>
      </c>
      <c r="E16" s="122">
        <v>536777</v>
      </c>
      <c r="F16" s="122">
        <v>237059</v>
      </c>
      <c r="G16" s="238" t="s">
        <v>457</v>
      </c>
      <c r="H16" s="122">
        <v>299718</v>
      </c>
      <c r="I16" s="199">
        <v>0</v>
      </c>
      <c r="J16" s="199">
        <v>0</v>
      </c>
      <c r="K16" s="199">
        <v>0</v>
      </c>
      <c r="L16" s="122">
        <v>299718</v>
      </c>
    </row>
    <row r="17" spans="1:12" ht="15" customHeight="1" x14ac:dyDescent="0.2">
      <c r="A17" s="103" t="s">
        <v>69</v>
      </c>
      <c r="B17" s="198" t="s">
        <v>201</v>
      </c>
      <c r="C17" s="37" t="s">
        <v>83</v>
      </c>
      <c r="D17" s="103">
        <v>320</v>
      </c>
      <c r="E17" s="122">
        <v>75416</v>
      </c>
      <c r="F17" s="122">
        <v>57555</v>
      </c>
      <c r="G17" s="238" t="s">
        <v>457</v>
      </c>
      <c r="H17" s="122">
        <v>17861</v>
      </c>
      <c r="I17" s="199">
        <v>0</v>
      </c>
      <c r="J17" s="199">
        <v>0</v>
      </c>
      <c r="K17" s="199">
        <v>0</v>
      </c>
      <c r="L17" s="122">
        <v>17861</v>
      </c>
    </row>
    <row r="18" spans="1:12" s="229" customFormat="1" ht="15" customHeight="1" x14ac:dyDescent="0.2">
      <c r="A18" s="103" t="s">
        <v>69</v>
      </c>
      <c r="B18" s="198" t="s">
        <v>199</v>
      </c>
      <c r="C18" s="37" t="s">
        <v>200</v>
      </c>
      <c r="D18" s="103">
        <v>347</v>
      </c>
      <c r="E18" s="199">
        <v>0</v>
      </c>
      <c r="F18" s="199">
        <v>0</v>
      </c>
      <c r="G18" s="238" t="s">
        <v>457</v>
      </c>
      <c r="H18" s="199">
        <v>0</v>
      </c>
      <c r="I18" s="122">
        <v>1000</v>
      </c>
      <c r="J18" s="199">
        <v>0</v>
      </c>
      <c r="K18" s="122">
        <v>1000</v>
      </c>
      <c r="L18" s="122">
        <v>-1000</v>
      </c>
    </row>
    <row r="19" spans="1:12" s="244" customFormat="1" ht="15" customHeight="1" x14ac:dyDescent="0.2">
      <c r="A19" s="103" t="s">
        <v>69</v>
      </c>
      <c r="B19" s="198" t="s">
        <v>202</v>
      </c>
      <c r="C19" s="37" t="s">
        <v>72</v>
      </c>
      <c r="D19" s="103">
        <v>238</v>
      </c>
      <c r="E19" s="122">
        <v>77295</v>
      </c>
      <c r="F19" s="122">
        <v>69101</v>
      </c>
      <c r="G19" s="238" t="s">
        <v>457</v>
      </c>
      <c r="H19" s="122">
        <v>8194</v>
      </c>
      <c r="I19" s="199">
        <v>0</v>
      </c>
      <c r="J19" s="199">
        <v>0</v>
      </c>
      <c r="K19" s="199">
        <v>0</v>
      </c>
      <c r="L19" s="122">
        <v>8194</v>
      </c>
    </row>
    <row r="20" spans="1:12" ht="15" customHeight="1" x14ac:dyDescent="0.2">
      <c r="A20" s="206" t="s">
        <v>381</v>
      </c>
      <c r="B20" s="239" t="s">
        <v>457</v>
      </c>
      <c r="C20" s="239" t="s">
        <v>457</v>
      </c>
      <c r="D20" s="239" t="s">
        <v>457</v>
      </c>
      <c r="E20" s="117">
        <f>SUBTOTAL(109,college201213[Program
Costs])</f>
        <v>922641</v>
      </c>
      <c r="F20" s="117">
        <f>SUBTOTAL(109,college201213[Less: Net
 Payments and 
Offsets 2])</f>
        <v>525344</v>
      </c>
      <c r="G20" s="239" t="s">
        <v>457</v>
      </c>
      <c r="H20" s="117">
        <f>SUBTOTAL(109,college201213[Accounts Payable
Balance])</f>
        <v>397297</v>
      </c>
      <c r="I20" s="117">
        <f>SUBTOTAL(109,college201213[Established
Accounts Receivable])</f>
        <v>1000</v>
      </c>
      <c r="J20" s="204">
        <f>SUBTOTAL(109,college201213[Less: 
Recovered 
Amount])</f>
        <v>0</v>
      </c>
      <c r="K20" s="117">
        <f>SUBTOTAL(109,college201213[Accounts Receivable
Balance])</f>
        <v>1000</v>
      </c>
      <c r="L20" s="117">
        <f>SUBTOTAL(109,college201213[Net
Balance])</f>
        <v>396297</v>
      </c>
    </row>
    <row r="21" spans="1:12" ht="15" customHeight="1" x14ac:dyDescent="0.2">
      <c r="A21" s="169" t="s">
        <v>463</v>
      </c>
      <c r="B21" s="240"/>
      <c r="C21" s="119"/>
      <c r="D21" s="103"/>
      <c r="E21" s="241"/>
      <c r="F21" s="241"/>
      <c r="G21" s="242"/>
      <c r="H21" s="241"/>
      <c r="I21" s="241"/>
      <c r="J21" s="243"/>
      <c r="K21" s="241"/>
      <c r="L21" s="211"/>
    </row>
    <row r="22" spans="1:12" ht="48" x14ac:dyDescent="0.2">
      <c r="A22" s="40" t="s">
        <v>1</v>
      </c>
      <c r="B22" s="40" t="s">
        <v>15</v>
      </c>
      <c r="C22" s="40" t="s">
        <v>16</v>
      </c>
      <c r="D22" s="40" t="s">
        <v>454</v>
      </c>
      <c r="E22" s="230" t="s">
        <v>3</v>
      </c>
      <c r="F22" s="40" t="s">
        <v>592</v>
      </c>
      <c r="G22" s="245" t="s">
        <v>462</v>
      </c>
      <c r="H22" s="230" t="s">
        <v>461</v>
      </c>
      <c r="I22" s="197" t="s">
        <v>460</v>
      </c>
      <c r="J22" s="230" t="s">
        <v>459</v>
      </c>
      <c r="K22" s="230" t="s">
        <v>458</v>
      </c>
      <c r="L22" s="230" t="s">
        <v>17</v>
      </c>
    </row>
    <row r="23" spans="1:12" ht="30" customHeight="1" x14ac:dyDescent="0.2">
      <c r="A23" s="103" t="s">
        <v>70</v>
      </c>
      <c r="B23" s="198" t="s">
        <v>195</v>
      </c>
      <c r="C23" s="37" t="s">
        <v>196</v>
      </c>
      <c r="D23" s="103">
        <v>232</v>
      </c>
      <c r="E23" s="122">
        <v>3644350</v>
      </c>
      <c r="F23" s="122">
        <v>3444323</v>
      </c>
      <c r="G23" s="238" t="s">
        <v>457</v>
      </c>
      <c r="H23" s="122">
        <v>200027</v>
      </c>
      <c r="I23" s="199">
        <v>0</v>
      </c>
      <c r="J23" s="199">
        <v>0</v>
      </c>
      <c r="K23" s="199">
        <v>0</v>
      </c>
      <c r="L23" s="122">
        <v>200027</v>
      </c>
    </row>
    <row r="24" spans="1:12" ht="15" customHeight="1" x14ac:dyDescent="0.2">
      <c r="A24" s="103" t="s">
        <v>70</v>
      </c>
      <c r="B24" s="198" t="s">
        <v>203</v>
      </c>
      <c r="C24" s="37" t="s">
        <v>204</v>
      </c>
      <c r="D24" s="103">
        <v>332</v>
      </c>
      <c r="E24" s="122">
        <v>141970</v>
      </c>
      <c r="F24" s="122">
        <v>86745</v>
      </c>
      <c r="G24" s="238" t="s">
        <v>457</v>
      </c>
      <c r="H24" s="122">
        <v>55225</v>
      </c>
      <c r="I24" s="199">
        <v>0</v>
      </c>
      <c r="J24" s="199">
        <v>0</v>
      </c>
      <c r="K24" s="199">
        <v>0</v>
      </c>
      <c r="L24" s="122">
        <v>55225</v>
      </c>
    </row>
    <row r="25" spans="1:12" ht="15" customHeight="1" x14ac:dyDescent="0.2">
      <c r="A25" s="103" t="s">
        <v>70</v>
      </c>
      <c r="B25" s="198" t="s">
        <v>197</v>
      </c>
      <c r="C25" s="37" t="s">
        <v>198</v>
      </c>
      <c r="D25" s="103">
        <v>267</v>
      </c>
      <c r="E25" s="122">
        <v>3224800</v>
      </c>
      <c r="F25" s="122">
        <v>2793676</v>
      </c>
      <c r="G25" s="238" t="s">
        <v>457</v>
      </c>
      <c r="H25" s="122">
        <v>431124</v>
      </c>
      <c r="I25" s="199">
        <v>0</v>
      </c>
      <c r="J25" s="199">
        <v>0</v>
      </c>
      <c r="K25" s="199">
        <v>0</v>
      </c>
      <c r="L25" s="122">
        <v>431124</v>
      </c>
    </row>
    <row r="26" spans="1:12" ht="15" customHeight="1" x14ac:dyDescent="0.2">
      <c r="A26" s="103" t="s">
        <v>70</v>
      </c>
      <c r="B26" s="198" t="s">
        <v>205</v>
      </c>
      <c r="C26" s="37" t="s">
        <v>206</v>
      </c>
      <c r="D26" s="103">
        <v>234</v>
      </c>
      <c r="E26" s="122">
        <v>5088326</v>
      </c>
      <c r="F26" s="122">
        <v>4654500</v>
      </c>
      <c r="G26" s="238" t="s">
        <v>457</v>
      </c>
      <c r="H26" s="122">
        <v>433826</v>
      </c>
      <c r="I26" s="199">
        <v>0</v>
      </c>
      <c r="J26" s="199">
        <v>0</v>
      </c>
      <c r="K26" s="199">
        <v>0</v>
      </c>
      <c r="L26" s="122">
        <v>433826</v>
      </c>
    </row>
    <row r="27" spans="1:12" ht="15" customHeight="1" x14ac:dyDescent="0.2">
      <c r="A27" s="103" t="s">
        <v>70</v>
      </c>
      <c r="B27" s="198" t="s">
        <v>201</v>
      </c>
      <c r="C27" s="37" t="s">
        <v>83</v>
      </c>
      <c r="D27" s="103">
        <v>320</v>
      </c>
      <c r="E27" s="122">
        <v>594187</v>
      </c>
      <c r="F27" s="122">
        <v>543655</v>
      </c>
      <c r="G27" s="238" t="s">
        <v>457</v>
      </c>
      <c r="H27" s="122">
        <v>50532</v>
      </c>
      <c r="I27" s="199">
        <v>0</v>
      </c>
      <c r="J27" s="199">
        <v>0</v>
      </c>
      <c r="K27" s="199">
        <v>0</v>
      </c>
      <c r="L27" s="122">
        <v>50532</v>
      </c>
    </row>
    <row r="28" spans="1:12" s="229" customFormat="1" ht="15" customHeight="1" x14ac:dyDescent="0.2">
      <c r="A28" s="103" t="s">
        <v>70</v>
      </c>
      <c r="B28" s="198" t="s">
        <v>199</v>
      </c>
      <c r="C28" s="37" t="s">
        <v>200</v>
      </c>
      <c r="D28" s="103">
        <v>347</v>
      </c>
      <c r="E28" s="122">
        <v>5570956</v>
      </c>
      <c r="F28" s="122">
        <v>3907483</v>
      </c>
      <c r="G28" s="238" t="s">
        <v>457</v>
      </c>
      <c r="H28" s="122">
        <v>1663473</v>
      </c>
      <c r="I28" s="199">
        <v>0</v>
      </c>
      <c r="J28" s="199">
        <v>0</v>
      </c>
      <c r="K28" s="199">
        <v>0</v>
      </c>
      <c r="L28" s="122">
        <v>1663473</v>
      </c>
    </row>
    <row r="29" spans="1:12" s="244" customFormat="1" ht="15" customHeight="1" x14ac:dyDescent="0.2">
      <c r="A29" s="103" t="s">
        <v>70</v>
      </c>
      <c r="B29" s="198" t="s">
        <v>202</v>
      </c>
      <c r="C29" s="37" t="s">
        <v>72</v>
      </c>
      <c r="D29" s="103">
        <v>238</v>
      </c>
      <c r="E29" s="122">
        <v>1362137</v>
      </c>
      <c r="F29" s="122">
        <v>1191354</v>
      </c>
      <c r="G29" s="238" t="s">
        <v>457</v>
      </c>
      <c r="H29" s="122">
        <v>170783</v>
      </c>
      <c r="I29" s="199">
        <v>0</v>
      </c>
      <c r="J29" s="199">
        <v>0</v>
      </c>
      <c r="K29" s="199">
        <v>0</v>
      </c>
      <c r="L29" s="122">
        <v>170783</v>
      </c>
    </row>
    <row r="30" spans="1:12" ht="15" customHeight="1" x14ac:dyDescent="0.2">
      <c r="A30" s="103" t="s">
        <v>70</v>
      </c>
      <c r="B30" s="198" t="s">
        <v>207</v>
      </c>
      <c r="C30" s="37" t="s">
        <v>208</v>
      </c>
      <c r="D30" s="103">
        <v>301</v>
      </c>
      <c r="E30" s="122">
        <v>705908</v>
      </c>
      <c r="F30" s="122">
        <v>664522</v>
      </c>
      <c r="G30" s="238" t="s">
        <v>457</v>
      </c>
      <c r="H30" s="122">
        <v>41386</v>
      </c>
      <c r="I30" s="199">
        <v>0</v>
      </c>
      <c r="J30" s="199">
        <v>0</v>
      </c>
      <c r="K30" s="199">
        <v>0</v>
      </c>
      <c r="L30" s="122">
        <v>41386</v>
      </c>
    </row>
    <row r="31" spans="1:12" ht="15" customHeight="1" x14ac:dyDescent="0.2">
      <c r="A31" s="206" t="s">
        <v>382</v>
      </c>
      <c r="B31" s="239" t="s">
        <v>457</v>
      </c>
      <c r="C31" s="239" t="s">
        <v>457</v>
      </c>
      <c r="D31" s="239" t="s">
        <v>457</v>
      </c>
      <c r="E31" s="117">
        <f>SUBTOTAL(109,college201112[Program
Costs])</f>
        <v>20332634</v>
      </c>
      <c r="F31" s="117">
        <f>SUBTOTAL(109,college201112[Less: Net
 Payments and 
Offsets 2])</f>
        <v>17286258</v>
      </c>
      <c r="G31" s="239" t="s">
        <v>457</v>
      </c>
      <c r="H31" s="117">
        <f>SUBTOTAL(109,college201112[Accounts Payable
Balance])</f>
        <v>3046376</v>
      </c>
      <c r="I31" s="204">
        <f>SUBTOTAL(109,college201112[Established
Accounts Receivable])</f>
        <v>0</v>
      </c>
      <c r="J31" s="204">
        <f>SUBTOTAL(109,college201112[Less: 
Recovered 
Amount])</f>
        <v>0</v>
      </c>
      <c r="K31" s="204">
        <f>SUBTOTAL(109,college201112[Accounts Receivable
Balance])</f>
        <v>0</v>
      </c>
      <c r="L31" s="117">
        <f>SUBTOTAL(109,college201112[Net
Balance])</f>
        <v>3046376</v>
      </c>
    </row>
    <row r="32" spans="1:12" x14ac:dyDescent="0.2">
      <c r="A32" s="169" t="s">
        <v>463</v>
      </c>
      <c r="B32" s="240"/>
      <c r="C32" s="119"/>
      <c r="D32" s="103"/>
      <c r="E32" s="241"/>
      <c r="F32" s="241"/>
      <c r="G32" s="242"/>
      <c r="H32" s="241"/>
      <c r="I32" s="241"/>
      <c r="J32" s="243"/>
      <c r="K32" s="241"/>
      <c r="L32" s="211"/>
    </row>
    <row r="33" spans="1:12" ht="48" x14ac:dyDescent="0.2">
      <c r="A33" s="40" t="s">
        <v>1</v>
      </c>
      <c r="B33" s="40" t="s">
        <v>15</v>
      </c>
      <c r="C33" s="40" t="s">
        <v>16</v>
      </c>
      <c r="D33" s="40" t="s">
        <v>454</v>
      </c>
      <c r="E33" s="230" t="s">
        <v>3</v>
      </c>
      <c r="F33" s="40" t="s">
        <v>592</v>
      </c>
      <c r="G33" s="245" t="s">
        <v>462</v>
      </c>
      <c r="H33" s="230" t="s">
        <v>461</v>
      </c>
      <c r="I33" s="197" t="s">
        <v>460</v>
      </c>
      <c r="J33" s="230" t="s">
        <v>459</v>
      </c>
      <c r="K33" s="230" t="s">
        <v>458</v>
      </c>
      <c r="L33" s="230" t="s">
        <v>17</v>
      </c>
    </row>
    <row r="34" spans="1:12" ht="30" customHeight="1" x14ac:dyDescent="0.2">
      <c r="A34" s="103" t="s">
        <v>73</v>
      </c>
      <c r="B34" s="198" t="s">
        <v>195</v>
      </c>
      <c r="C34" s="37" t="s">
        <v>196</v>
      </c>
      <c r="D34" s="103">
        <v>232</v>
      </c>
      <c r="E34" s="122">
        <v>3804239</v>
      </c>
      <c r="F34" s="122">
        <v>3701869</v>
      </c>
      <c r="G34" s="238" t="s">
        <v>457</v>
      </c>
      <c r="H34" s="122">
        <v>102370</v>
      </c>
      <c r="I34" s="199">
        <v>0</v>
      </c>
      <c r="J34" s="199">
        <v>0</v>
      </c>
      <c r="K34" s="199">
        <v>0</v>
      </c>
      <c r="L34" s="122">
        <v>102370</v>
      </c>
    </row>
    <row r="35" spans="1:12" ht="15" customHeight="1" x14ac:dyDescent="0.2">
      <c r="A35" s="103" t="s">
        <v>73</v>
      </c>
      <c r="B35" s="198" t="s">
        <v>197</v>
      </c>
      <c r="C35" s="37" t="s">
        <v>198</v>
      </c>
      <c r="D35" s="103">
        <v>267</v>
      </c>
      <c r="E35" s="122">
        <v>5522032</v>
      </c>
      <c r="F35" s="122">
        <v>4696717</v>
      </c>
      <c r="G35" s="238" t="s">
        <v>457</v>
      </c>
      <c r="H35" s="122">
        <v>825315</v>
      </c>
      <c r="I35" s="199">
        <v>0</v>
      </c>
      <c r="J35" s="199">
        <v>0</v>
      </c>
      <c r="K35" s="199">
        <v>0</v>
      </c>
      <c r="L35" s="122">
        <v>825315</v>
      </c>
    </row>
    <row r="36" spans="1:12" s="229" customFormat="1" ht="15" customHeight="1" x14ac:dyDescent="0.2">
      <c r="A36" s="103" t="s">
        <v>73</v>
      </c>
      <c r="B36" s="198" t="s">
        <v>209</v>
      </c>
      <c r="C36" s="37" t="s">
        <v>210</v>
      </c>
      <c r="D36" s="103">
        <v>256</v>
      </c>
      <c r="E36" s="122">
        <v>292934</v>
      </c>
      <c r="F36" s="122">
        <v>269889</v>
      </c>
      <c r="G36" s="238" t="s">
        <v>457</v>
      </c>
      <c r="H36" s="122">
        <v>23045</v>
      </c>
      <c r="I36" s="199">
        <v>0</v>
      </c>
      <c r="J36" s="199">
        <v>0</v>
      </c>
      <c r="K36" s="199">
        <v>0</v>
      </c>
      <c r="L36" s="122">
        <v>23045</v>
      </c>
    </row>
    <row r="37" spans="1:12" s="244" customFormat="1" ht="15" customHeight="1" x14ac:dyDescent="0.2">
      <c r="A37" s="103" t="s">
        <v>73</v>
      </c>
      <c r="B37" s="198" t="s">
        <v>82</v>
      </c>
      <c r="C37" s="37" t="s">
        <v>83</v>
      </c>
      <c r="D37" s="103">
        <v>237</v>
      </c>
      <c r="E37" s="122">
        <v>676281</v>
      </c>
      <c r="F37" s="122">
        <v>650651</v>
      </c>
      <c r="G37" s="238" t="s">
        <v>457</v>
      </c>
      <c r="H37" s="122">
        <v>25630</v>
      </c>
      <c r="I37" s="199">
        <v>0</v>
      </c>
      <c r="J37" s="199">
        <v>0</v>
      </c>
      <c r="K37" s="199">
        <v>0</v>
      </c>
      <c r="L37" s="122">
        <v>25630</v>
      </c>
    </row>
    <row r="38" spans="1:12" ht="15" customHeight="1" x14ac:dyDescent="0.2">
      <c r="A38" s="103" t="s">
        <v>73</v>
      </c>
      <c r="B38" s="198" t="s">
        <v>199</v>
      </c>
      <c r="C38" s="37" t="s">
        <v>200</v>
      </c>
      <c r="D38" s="103">
        <v>347</v>
      </c>
      <c r="E38" s="122">
        <v>5189154</v>
      </c>
      <c r="F38" s="122">
        <v>4698840</v>
      </c>
      <c r="G38" s="238" t="s">
        <v>457</v>
      </c>
      <c r="H38" s="122">
        <v>490314</v>
      </c>
      <c r="I38" s="199">
        <v>0</v>
      </c>
      <c r="J38" s="199">
        <v>0</v>
      </c>
      <c r="K38" s="199">
        <v>0</v>
      </c>
      <c r="L38" s="122">
        <v>490314</v>
      </c>
    </row>
    <row r="39" spans="1:12" ht="15" customHeight="1" x14ac:dyDescent="0.2">
      <c r="A39" s="103" t="s">
        <v>73</v>
      </c>
      <c r="B39" s="198" t="s">
        <v>202</v>
      </c>
      <c r="C39" s="37" t="s">
        <v>72</v>
      </c>
      <c r="D39" s="103">
        <v>238</v>
      </c>
      <c r="E39" s="122">
        <v>1420015</v>
      </c>
      <c r="F39" s="122">
        <v>1398983</v>
      </c>
      <c r="G39" s="238" t="s">
        <v>457</v>
      </c>
      <c r="H39" s="122">
        <v>21032</v>
      </c>
      <c r="I39" s="199">
        <v>0</v>
      </c>
      <c r="J39" s="199">
        <v>0</v>
      </c>
      <c r="K39" s="199">
        <v>0</v>
      </c>
      <c r="L39" s="122">
        <v>21032</v>
      </c>
    </row>
    <row r="40" spans="1:12" ht="15" customHeight="1" x14ac:dyDescent="0.2">
      <c r="A40" s="206" t="s">
        <v>383</v>
      </c>
      <c r="B40" s="239" t="s">
        <v>457</v>
      </c>
      <c r="C40" s="239" t="s">
        <v>457</v>
      </c>
      <c r="D40" s="239" t="s">
        <v>457</v>
      </c>
      <c r="E40" s="117">
        <f>SUBTOTAL(109,college201011[Program
Costs])</f>
        <v>16904655</v>
      </c>
      <c r="F40" s="117">
        <f>SUBTOTAL(109,college201011[Less: Net
 Payments and 
Offsets 2])</f>
        <v>15416949</v>
      </c>
      <c r="G40" s="239" t="s">
        <v>457</v>
      </c>
      <c r="H40" s="117">
        <f>SUBTOTAL(109,college201011[Accounts Payable
Balance])</f>
        <v>1487706</v>
      </c>
      <c r="I40" s="204">
        <f>SUBTOTAL(109,college201011[Established
Accounts Receivable])</f>
        <v>0</v>
      </c>
      <c r="J40" s="204">
        <f>SUBTOTAL(109,college201011[Less: 
Recovered 
Amount])</f>
        <v>0</v>
      </c>
      <c r="K40" s="204">
        <f>SUBTOTAL(109,college201011[Accounts Receivable
Balance])</f>
        <v>0</v>
      </c>
      <c r="L40" s="117">
        <f>SUBTOTAL(109,college201011[Net
Balance])</f>
        <v>1487706</v>
      </c>
    </row>
    <row r="41" spans="1:12" x14ac:dyDescent="0.2">
      <c r="A41" s="169" t="s">
        <v>463</v>
      </c>
      <c r="B41" s="240"/>
      <c r="C41" s="119"/>
      <c r="D41" s="103"/>
      <c r="E41" s="241"/>
      <c r="F41" s="241"/>
      <c r="G41" s="242"/>
      <c r="H41" s="241"/>
      <c r="I41" s="241"/>
      <c r="J41" s="243"/>
      <c r="K41" s="241"/>
      <c r="L41" s="211"/>
    </row>
    <row r="42" spans="1:12" ht="48" x14ac:dyDescent="0.2">
      <c r="A42" s="40" t="s">
        <v>1</v>
      </c>
      <c r="B42" s="40" t="s">
        <v>15</v>
      </c>
      <c r="C42" s="40" t="s">
        <v>16</v>
      </c>
      <c r="D42" s="40" t="s">
        <v>454</v>
      </c>
      <c r="E42" s="230" t="s">
        <v>3</v>
      </c>
      <c r="F42" s="40" t="s">
        <v>592</v>
      </c>
      <c r="G42" s="245" t="s">
        <v>462</v>
      </c>
      <c r="H42" s="230" t="s">
        <v>461</v>
      </c>
      <c r="I42" s="197" t="s">
        <v>460</v>
      </c>
      <c r="J42" s="230" t="s">
        <v>459</v>
      </c>
      <c r="K42" s="230" t="s">
        <v>458</v>
      </c>
      <c r="L42" s="230" t="s">
        <v>17</v>
      </c>
    </row>
    <row r="43" spans="1:12" ht="30" customHeight="1" x14ac:dyDescent="0.2">
      <c r="A43" s="103" t="s">
        <v>13</v>
      </c>
      <c r="B43" s="198" t="s">
        <v>195</v>
      </c>
      <c r="C43" s="37" t="s">
        <v>196</v>
      </c>
      <c r="D43" s="103">
        <v>232</v>
      </c>
      <c r="E43" s="122">
        <v>4586540</v>
      </c>
      <c r="F43" s="122">
        <v>4468686</v>
      </c>
      <c r="G43" s="238" t="s">
        <v>457</v>
      </c>
      <c r="H43" s="122">
        <v>117854</v>
      </c>
      <c r="I43" s="122">
        <v>4602</v>
      </c>
      <c r="J43" s="199">
        <v>0</v>
      </c>
      <c r="K43" s="122">
        <v>4602</v>
      </c>
      <c r="L43" s="122">
        <v>113252</v>
      </c>
    </row>
    <row r="44" spans="1:12" ht="15" customHeight="1" x14ac:dyDescent="0.2">
      <c r="A44" s="103" t="s">
        <v>13</v>
      </c>
      <c r="B44" s="198" t="s">
        <v>197</v>
      </c>
      <c r="C44" s="37" t="s">
        <v>198</v>
      </c>
      <c r="D44" s="103">
        <v>267</v>
      </c>
      <c r="E44" s="122">
        <v>7294856</v>
      </c>
      <c r="F44" s="122">
        <v>6709311</v>
      </c>
      <c r="G44" s="238" t="s">
        <v>457</v>
      </c>
      <c r="H44" s="122">
        <v>585545</v>
      </c>
      <c r="I44" s="122">
        <v>1598277</v>
      </c>
      <c r="J44" s="199">
        <v>0</v>
      </c>
      <c r="K44" s="122">
        <v>1598277</v>
      </c>
      <c r="L44" s="122">
        <v>-1012732</v>
      </c>
    </row>
    <row r="45" spans="1:12" s="229" customFormat="1" ht="15" customHeight="1" x14ac:dyDescent="0.2">
      <c r="A45" s="103" t="s">
        <v>13</v>
      </c>
      <c r="B45" s="198" t="s">
        <v>205</v>
      </c>
      <c r="C45" s="37" t="s">
        <v>206</v>
      </c>
      <c r="D45" s="103">
        <v>234</v>
      </c>
      <c r="E45" s="122">
        <v>3066366</v>
      </c>
      <c r="F45" s="122">
        <v>3066366</v>
      </c>
      <c r="G45" s="238" t="s">
        <v>457</v>
      </c>
      <c r="H45" s="199">
        <v>0</v>
      </c>
      <c r="I45" s="122">
        <v>1619834</v>
      </c>
      <c r="J45" s="122">
        <v>258603</v>
      </c>
      <c r="K45" s="122">
        <v>1361231</v>
      </c>
      <c r="L45" s="122">
        <v>-1361231</v>
      </c>
    </row>
    <row r="46" spans="1:12" s="244" customFormat="1" ht="15" customHeight="1" x14ac:dyDescent="0.2">
      <c r="A46" s="103" t="s">
        <v>13</v>
      </c>
      <c r="B46" s="198" t="s">
        <v>209</v>
      </c>
      <c r="C46" s="37" t="s">
        <v>210</v>
      </c>
      <c r="D46" s="103">
        <v>256</v>
      </c>
      <c r="E46" s="122">
        <v>1006042</v>
      </c>
      <c r="F46" s="122">
        <v>922624</v>
      </c>
      <c r="G46" s="238" t="s">
        <v>457</v>
      </c>
      <c r="H46" s="122">
        <v>83418</v>
      </c>
      <c r="I46" s="199">
        <v>0</v>
      </c>
      <c r="J46" s="199">
        <v>0</v>
      </c>
      <c r="K46" s="199">
        <v>0</v>
      </c>
      <c r="L46" s="122">
        <v>83418</v>
      </c>
    </row>
    <row r="47" spans="1:12" ht="15" customHeight="1" x14ac:dyDescent="0.2">
      <c r="A47" s="103" t="s">
        <v>13</v>
      </c>
      <c r="B47" s="198" t="s">
        <v>82</v>
      </c>
      <c r="C47" s="37" t="s">
        <v>83</v>
      </c>
      <c r="D47" s="103">
        <v>237</v>
      </c>
      <c r="E47" s="122">
        <v>684534</v>
      </c>
      <c r="F47" s="122">
        <v>664641</v>
      </c>
      <c r="G47" s="238" t="s">
        <v>457</v>
      </c>
      <c r="H47" s="122">
        <v>19893</v>
      </c>
      <c r="I47" s="199">
        <v>0</v>
      </c>
      <c r="J47" s="199">
        <v>0</v>
      </c>
      <c r="K47" s="199">
        <v>0</v>
      </c>
      <c r="L47" s="122">
        <v>19893</v>
      </c>
    </row>
    <row r="48" spans="1:12" ht="15" customHeight="1" x14ac:dyDescent="0.2">
      <c r="A48" s="103" t="s">
        <v>13</v>
      </c>
      <c r="B48" s="198" t="s">
        <v>199</v>
      </c>
      <c r="C48" s="37" t="s">
        <v>200</v>
      </c>
      <c r="D48" s="103">
        <v>347</v>
      </c>
      <c r="E48" s="122">
        <v>4890742</v>
      </c>
      <c r="F48" s="122">
        <v>4524963</v>
      </c>
      <c r="G48" s="238" t="s">
        <v>457</v>
      </c>
      <c r="H48" s="122">
        <v>365779</v>
      </c>
      <c r="I48" s="199">
        <v>0</v>
      </c>
      <c r="J48" s="199">
        <v>0</v>
      </c>
      <c r="K48" s="199">
        <v>0</v>
      </c>
      <c r="L48" s="122">
        <v>365779</v>
      </c>
    </row>
    <row r="49" spans="1:12" ht="15" customHeight="1" x14ac:dyDescent="0.2">
      <c r="A49" s="103" t="s">
        <v>13</v>
      </c>
      <c r="B49" s="198" t="s">
        <v>202</v>
      </c>
      <c r="C49" s="37" t="s">
        <v>72</v>
      </c>
      <c r="D49" s="103">
        <v>238</v>
      </c>
      <c r="E49" s="122">
        <v>1286379</v>
      </c>
      <c r="F49" s="122">
        <v>1266655</v>
      </c>
      <c r="G49" s="238" t="s">
        <v>457</v>
      </c>
      <c r="H49" s="122">
        <v>19724</v>
      </c>
      <c r="I49" s="199">
        <v>0</v>
      </c>
      <c r="J49" s="199">
        <v>0</v>
      </c>
      <c r="K49" s="199">
        <v>0</v>
      </c>
      <c r="L49" s="122">
        <v>19724</v>
      </c>
    </row>
    <row r="50" spans="1:12" ht="15" customHeight="1" x14ac:dyDescent="0.2">
      <c r="A50" s="206" t="s">
        <v>384</v>
      </c>
      <c r="B50" s="239" t="s">
        <v>457</v>
      </c>
      <c r="C50" s="239" t="s">
        <v>457</v>
      </c>
      <c r="D50" s="239" t="s">
        <v>457</v>
      </c>
      <c r="E50" s="117">
        <f>SUBTOTAL(109,college200910[Program
Costs])</f>
        <v>22815459</v>
      </c>
      <c r="F50" s="117">
        <f>SUBTOTAL(109,college200910[Less: Net
 Payments and 
Offsets 2])</f>
        <v>21623246</v>
      </c>
      <c r="G50" s="239" t="s">
        <v>457</v>
      </c>
      <c r="H50" s="117">
        <f>SUBTOTAL(109,college200910[Accounts Payable
Balance])</f>
        <v>1192213</v>
      </c>
      <c r="I50" s="117">
        <f>SUBTOTAL(109,college200910[Established
Accounts Receivable])</f>
        <v>3222713</v>
      </c>
      <c r="J50" s="117">
        <f>SUBTOTAL(109,college200910[Less: 
Recovered 
Amount])</f>
        <v>258603</v>
      </c>
      <c r="K50" s="117">
        <f>SUBTOTAL(109,college200910[Accounts Receivable
Balance])</f>
        <v>2964110</v>
      </c>
      <c r="L50" s="117">
        <f>SUBTOTAL(109,college200910[Net
Balance])</f>
        <v>-1771897</v>
      </c>
    </row>
    <row r="51" spans="1:12" x14ac:dyDescent="0.2">
      <c r="A51" s="169" t="s">
        <v>463</v>
      </c>
      <c r="B51" s="240"/>
      <c r="C51" s="119"/>
      <c r="D51" s="103"/>
      <c r="E51" s="241"/>
      <c r="F51" s="241"/>
      <c r="G51" s="242"/>
      <c r="H51" s="241"/>
      <c r="I51" s="241"/>
      <c r="J51" s="243"/>
      <c r="K51" s="241"/>
      <c r="L51" s="211"/>
    </row>
    <row r="52" spans="1:12" ht="48" x14ac:dyDescent="0.2">
      <c r="A52" s="40" t="s">
        <v>1</v>
      </c>
      <c r="B52" s="40" t="s">
        <v>15</v>
      </c>
      <c r="C52" s="40" t="s">
        <v>16</v>
      </c>
      <c r="D52" s="40" t="s">
        <v>454</v>
      </c>
      <c r="E52" s="230" t="s">
        <v>3</v>
      </c>
      <c r="F52" s="40" t="s">
        <v>592</v>
      </c>
      <c r="G52" s="245" t="s">
        <v>462</v>
      </c>
      <c r="H52" s="230" t="s">
        <v>461</v>
      </c>
      <c r="I52" s="197" t="s">
        <v>460</v>
      </c>
      <c r="J52" s="230" t="s">
        <v>459</v>
      </c>
      <c r="K52" s="230" t="s">
        <v>458</v>
      </c>
      <c r="L52" s="230" t="s">
        <v>17</v>
      </c>
    </row>
    <row r="53" spans="1:12" ht="15" customHeight="1" x14ac:dyDescent="0.2">
      <c r="A53" s="103" t="s">
        <v>120</v>
      </c>
      <c r="B53" s="198" t="s">
        <v>211</v>
      </c>
      <c r="C53" s="37" t="s">
        <v>212</v>
      </c>
      <c r="D53" s="103">
        <v>302</v>
      </c>
      <c r="E53" s="122">
        <v>23555</v>
      </c>
      <c r="F53" s="122">
        <v>21884</v>
      </c>
      <c r="G53" s="238" t="s">
        <v>457</v>
      </c>
      <c r="H53" s="122">
        <v>1671</v>
      </c>
      <c r="I53" s="199">
        <v>0</v>
      </c>
      <c r="J53" s="199">
        <v>0</v>
      </c>
      <c r="K53" s="199">
        <v>0</v>
      </c>
      <c r="L53" s="122">
        <v>1671</v>
      </c>
    </row>
    <row r="54" spans="1:12" ht="30" customHeight="1" x14ac:dyDescent="0.2">
      <c r="A54" s="103" t="s">
        <v>120</v>
      </c>
      <c r="B54" s="198" t="s">
        <v>195</v>
      </c>
      <c r="C54" s="37" t="s">
        <v>196</v>
      </c>
      <c r="D54" s="103">
        <v>232</v>
      </c>
      <c r="E54" s="122">
        <v>4843233</v>
      </c>
      <c r="F54" s="122">
        <v>4708029</v>
      </c>
      <c r="G54" s="238" t="s">
        <v>457</v>
      </c>
      <c r="H54" s="122">
        <v>135204</v>
      </c>
      <c r="I54" s="199">
        <v>0</v>
      </c>
      <c r="J54" s="199">
        <v>0</v>
      </c>
      <c r="K54" s="199">
        <v>0</v>
      </c>
      <c r="L54" s="122">
        <v>135204</v>
      </c>
    </row>
    <row r="55" spans="1:12" s="229" customFormat="1" ht="15" customHeight="1" x14ac:dyDescent="0.2">
      <c r="A55" s="103" t="s">
        <v>120</v>
      </c>
      <c r="B55" s="198" t="s">
        <v>197</v>
      </c>
      <c r="C55" s="37" t="s">
        <v>198</v>
      </c>
      <c r="D55" s="103">
        <v>267</v>
      </c>
      <c r="E55" s="122">
        <v>9022099</v>
      </c>
      <c r="F55" s="122">
        <v>8333024</v>
      </c>
      <c r="G55" s="238" t="s">
        <v>457</v>
      </c>
      <c r="H55" s="122">
        <v>689075</v>
      </c>
      <c r="I55" s="122">
        <v>1993995</v>
      </c>
      <c r="J55" s="199">
        <v>0</v>
      </c>
      <c r="K55" s="122">
        <v>1993995</v>
      </c>
      <c r="L55" s="122">
        <v>-1304920</v>
      </c>
    </row>
    <row r="56" spans="1:12" s="244" customFormat="1" ht="15" customHeight="1" x14ac:dyDescent="0.2">
      <c r="A56" s="103" t="s">
        <v>120</v>
      </c>
      <c r="B56" s="198" t="s">
        <v>205</v>
      </c>
      <c r="C56" s="37" t="s">
        <v>206</v>
      </c>
      <c r="D56" s="103">
        <v>234</v>
      </c>
      <c r="E56" s="122">
        <v>2737981</v>
      </c>
      <c r="F56" s="122">
        <v>2737981</v>
      </c>
      <c r="G56" s="238" t="s">
        <v>457</v>
      </c>
      <c r="H56" s="199">
        <v>0</v>
      </c>
      <c r="I56" s="122">
        <v>3372799</v>
      </c>
      <c r="J56" s="122">
        <v>384373</v>
      </c>
      <c r="K56" s="122">
        <v>2988426</v>
      </c>
      <c r="L56" s="122">
        <v>-2988426</v>
      </c>
    </row>
    <row r="57" spans="1:12" ht="15" customHeight="1" x14ac:dyDescent="0.2">
      <c r="A57" s="103" t="s">
        <v>120</v>
      </c>
      <c r="B57" s="198" t="s">
        <v>209</v>
      </c>
      <c r="C57" s="37" t="s">
        <v>210</v>
      </c>
      <c r="D57" s="103">
        <v>256</v>
      </c>
      <c r="E57" s="122">
        <v>1281525</v>
      </c>
      <c r="F57" s="122">
        <v>1201370</v>
      </c>
      <c r="G57" s="238" t="s">
        <v>457</v>
      </c>
      <c r="H57" s="122">
        <v>80155</v>
      </c>
      <c r="I57" s="199">
        <v>0</v>
      </c>
      <c r="J57" s="199">
        <v>0</v>
      </c>
      <c r="K57" s="199">
        <v>0</v>
      </c>
      <c r="L57" s="122">
        <v>80155</v>
      </c>
    </row>
    <row r="58" spans="1:12" ht="15" customHeight="1" x14ac:dyDescent="0.2">
      <c r="A58" s="103" t="s">
        <v>120</v>
      </c>
      <c r="B58" s="198" t="s">
        <v>82</v>
      </c>
      <c r="C58" s="37" t="s">
        <v>83</v>
      </c>
      <c r="D58" s="103">
        <v>237</v>
      </c>
      <c r="E58" s="122">
        <v>775809</v>
      </c>
      <c r="F58" s="122">
        <v>735585</v>
      </c>
      <c r="G58" s="238" t="s">
        <v>457</v>
      </c>
      <c r="H58" s="122">
        <v>40224</v>
      </c>
      <c r="I58" s="199">
        <v>0</v>
      </c>
      <c r="J58" s="199">
        <v>0</v>
      </c>
      <c r="K58" s="199">
        <v>0</v>
      </c>
      <c r="L58" s="122">
        <v>40224</v>
      </c>
    </row>
    <row r="59" spans="1:12" ht="15" customHeight="1" x14ac:dyDescent="0.2">
      <c r="A59" s="103" t="s">
        <v>120</v>
      </c>
      <c r="B59" s="198" t="s">
        <v>199</v>
      </c>
      <c r="C59" s="37" t="s">
        <v>200</v>
      </c>
      <c r="D59" s="103">
        <v>347</v>
      </c>
      <c r="E59" s="122">
        <v>4736363</v>
      </c>
      <c r="F59" s="122">
        <v>4301488</v>
      </c>
      <c r="G59" s="238" t="s">
        <v>457</v>
      </c>
      <c r="H59" s="122">
        <v>434875</v>
      </c>
      <c r="I59" s="199">
        <v>0</v>
      </c>
      <c r="J59" s="199">
        <v>0</v>
      </c>
      <c r="K59" s="199">
        <v>0</v>
      </c>
      <c r="L59" s="122">
        <v>434875</v>
      </c>
    </row>
    <row r="60" spans="1:12" ht="15" customHeight="1" x14ac:dyDescent="0.2">
      <c r="A60" s="103" t="s">
        <v>120</v>
      </c>
      <c r="B60" s="198" t="s">
        <v>202</v>
      </c>
      <c r="C60" s="37" t="s">
        <v>72</v>
      </c>
      <c r="D60" s="103">
        <v>238</v>
      </c>
      <c r="E60" s="122">
        <v>1264692</v>
      </c>
      <c r="F60" s="122">
        <v>1235036</v>
      </c>
      <c r="G60" s="238" t="s">
        <v>457</v>
      </c>
      <c r="H60" s="122">
        <v>29656</v>
      </c>
      <c r="I60" s="199">
        <v>0</v>
      </c>
      <c r="J60" s="199">
        <v>0</v>
      </c>
      <c r="K60" s="199">
        <v>0</v>
      </c>
      <c r="L60" s="122">
        <v>29656</v>
      </c>
    </row>
    <row r="61" spans="1:12" ht="15" customHeight="1" x14ac:dyDescent="0.2">
      <c r="A61" s="206" t="s">
        <v>385</v>
      </c>
      <c r="B61" s="239" t="s">
        <v>457</v>
      </c>
      <c r="C61" s="239" t="s">
        <v>457</v>
      </c>
      <c r="D61" s="239" t="s">
        <v>457</v>
      </c>
      <c r="E61" s="117">
        <f>SUBTOTAL(109,college200809[Program
Costs])</f>
        <v>24685257</v>
      </c>
      <c r="F61" s="117">
        <f>SUBTOTAL(109,college200809[Less: Net
 Payments and 
Offsets 2])</f>
        <v>23274397</v>
      </c>
      <c r="G61" s="239" t="s">
        <v>457</v>
      </c>
      <c r="H61" s="117">
        <f>SUBTOTAL(109,college200809[Accounts Payable
Balance])</f>
        <v>1410860</v>
      </c>
      <c r="I61" s="117">
        <f>SUBTOTAL(109,college200809[Established
Accounts Receivable])</f>
        <v>5366794</v>
      </c>
      <c r="J61" s="117">
        <f>SUBTOTAL(109,college200809[Less: 
Recovered 
Amount])</f>
        <v>384373</v>
      </c>
      <c r="K61" s="117">
        <f>SUBTOTAL(109,college200809[Accounts Receivable
Balance])</f>
        <v>4982421</v>
      </c>
      <c r="L61" s="117">
        <f>SUBTOTAL(109,college200809[Net
Balance])</f>
        <v>-3571561</v>
      </c>
    </row>
    <row r="62" spans="1:12" x14ac:dyDescent="0.2">
      <c r="A62" s="169" t="s">
        <v>463</v>
      </c>
      <c r="B62" s="240"/>
      <c r="C62" s="119"/>
      <c r="D62" s="103"/>
      <c r="E62" s="241"/>
      <c r="F62" s="241"/>
      <c r="G62" s="242"/>
      <c r="H62" s="241"/>
      <c r="I62" s="241"/>
      <c r="J62" s="243"/>
      <c r="K62" s="241"/>
      <c r="L62" s="211"/>
    </row>
    <row r="63" spans="1:12" ht="48" x14ac:dyDescent="0.2">
      <c r="A63" s="40" t="s">
        <v>1</v>
      </c>
      <c r="B63" s="40" t="s">
        <v>15</v>
      </c>
      <c r="C63" s="40" t="s">
        <v>16</v>
      </c>
      <c r="D63" s="40" t="s">
        <v>454</v>
      </c>
      <c r="E63" s="230" t="s">
        <v>3</v>
      </c>
      <c r="F63" s="40" t="s">
        <v>592</v>
      </c>
      <c r="G63" s="245" t="s">
        <v>462</v>
      </c>
      <c r="H63" s="230" t="s">
        <v>461</v>
      </c>
      <c r="I63" s="197" t="s">
        <v>460</v>
      </c>
      <c r="J63" s="230" t="s">
        <v>459</v>
      </c>
      <c r="K63" s="230" t="s">
        <v>458</v>
      </c>
      <c r="L63" s="230" t="s">
        <v>17</v>
      </c>
    </row>
    <row r="64" spans="1:12" ht="15" customHeight="1" x14ac:dyDescent="0.2">
      <c r="A64" s="103" t="s">
        <v>131</v>
      </c>
      <c r="B64" s="198" t="s">
        <v>213</v>
      </c>
      <c r="C64" s="37" t="s">
        <v>214</v>
      </c>
      <c r="D64" s="103">
        <v>270</v>
      </c>
      <c r="E64" s="122">
        <v>107612</v>
      </c>
      <c r="F64" s="122">
        <v>104977</v>
      </c>
      <c r="G64" s="238" t="s">
        <v>457</v>
      </c>
      <c r="H64" s="122">
        <v>2635</v>
      </c>
      <c r="I64" s="199">
        <v>0</v>
      </c>
      <c r="J64" s="199">
        <v>0</v>
      </c>
      <c r="K64" s="199">
        <v>0</v>
      </c>
      <c r="L64" s="122">
        <v>2635</v>
      </c>
    </row>
    <row r="65" spans="1:12" ht="15" customHeight="1" x14ac:dyDescent="0.2">
      <c r="A65" s="103" t="s">
        <v>131</v>
      </c>
      <c r="B65" s="198" t="s">
        <v>211</v>
      </c>
      <c r="C65" s="37" t="s">
        <v>212</v>
      </c>
      <c r="D65" s="103">
        <v>302</v>
      </c>
      <c r="E65" s="122">
        <v>23844</v>
      </c>
      <c r="F65" s="122">
        <v>22129</v>
      </c>
      <c r="G65" s="238" t="s">
        <v>457</v>
      </c>
      <c r="H65" s="122">
        <v>1715</v>
      </c>
      <c r="I65" s="199">
        <v>0</v>
      </c>
      <c r="J65" s="199">
        <v>0</v>
      </c>
      <c r="K65" s="199">
        <v>0</v>
      </c>
      <c r="L65" s="122">
        <v>1715</v>
      </c>
    </row>
    <row r="66" spans="1:12" ht="30" customHeight="1" x14ac:dyDescent="0.2">
      <c r="A66" s="103" t="s">
        <v>131</v>
      </c>
      <c r="B66" s="198" t="s">
        <v>215</v>
      </c>
      <c r="C66" s="37" t="s">
        <v>216</v>
      </c>
      <c r="D66" s="103">
        <v>287</v>
      </c>
      <c r="E66" s="122">
        <v>65504</v>
      </c>
      <c r="F66" s="122">
        <v>63745</v>
      </c>
      <c r="G66" s="238" t="s">
        <v>457</v>
      </c>
      <c r="H66" s="122">
        <v>1759</v>
      </c>
      <c r="I66" s="199">
        <v>0</v>
      </c>
      <c r="J66" s="199">
        <v>0</v>
      </c>
      <c r="K66" s="199">
        <v>0</v>
      </c>
      <c r="L66" s="122">
        <v>1759</v>
      </c>
    </row>
    <row r="67" spans="1:12" s="229" customFormat="1" ht="15" customHeight="1" x14ac:dyDescent="0.2">
      <c r="A67" s="103" t="s">
        <v>131</v>
      </c>
      <c r="B67" s="198" t="s">
        <v>195</v>
      </c>
      <c r="C67" s="37" t="s">
        <v>196</v>
      </c>
      <c r="D67" s="103">
        <v>232</v>
      </c>
      <c r="E67" s="122">
        <v>5564747</v>
      </c>
      <c r="F67" s="122">
        <v>5411087</v>
      </c>
      <c r="G67" s="238" t="s">
        <v>457</v>
      </c>
      <c r="H67" s="122">
        <v>153660</v>
      </c>
      <c r="I67" s="122">
        <v>87483</v>
      </c>
      <c r="J67" s="122">
        <v>87483</v>
      </c>
      <c r="K67" s="199">
        <v>0</v>
      </c>
      <c r="L67" s="122">
        <v>153660</v>
      </c>
    </row>
    <row r="68" spans="1:12" s="244" customFormat="1" ht="15" customHeight="1" x14ac:dyDescent="0.2">
      <c r="A68" s="103" t="s">
        <v>131</v>
      </c>
      <c r="B68" s="198" t="s">
        <v>197</v>
      </c>
      <c r="C68" s="37" t="s">
        <v>198</v>
      </c>
      <c r="D68" s="103">
        <v>267</v>
      </c>
      <c r="E68" s="122">
        <v>6981108</v>
      </c>
      <c r="F68" s="122">
        <v>5991522</v>
      </c>
      <c r="G68" s="238" t="s">
        <v>457</v>
      </c>
      <c r="H68" s="122">
        <v>989586</v>
      </c>
      <c r="I68" s="199">
        <v>0</v>
      </c>
      <c r="J68" s="199">
        <v>0</v>
      </c>
      <c r="K68" s="199">
        <v>0</v>
      </c>
      <c r="L68" s="122">
        <v>989586</v>
      </c>
    </row>
    <row r="69" spans="1:12" ht="15" customHeight="1" x14ac:dyDescent="0.2">
      <c r="A69" s="103" t="s">
        <v>131</v>
      </c>
      <c r="B69" s="198" t="s">
        <v>205</v>
      </c>
      <c r="C69" s="37" t="s">
        <v>206</v>
      </c>
      <c r="D69" s="103">
        <v>234</v>
      </c>
      <c r="E69" s="122">
        <v>2553039</v>
      </c>
      <c r="F69" s="122">
        <v>2553039</v>
      </c>
      <c r="G69" s="238" t="s">
        <v>457</v>
      </c>
      <c r="H69" s="199">
        <v>0</v>
      </c>
      <c r="I69" s="122">
        <v>2583827</v>
      </c>
      <c r="J69" s="122">
        <v>926649</v>
      </c>
      <c r="K69" s="122">
        <v>1657178</v>
      </c>
      <c r="L69" s="122">
        <v>-1657178</v>
      </c>
    </row>
    <row r="70" spans="1:12" ht="15" customHeight="1" x14ac:dyDescent="0.2">
      <c r="A70" s="103" t="s">
        <v>131</v>
      </c>
      <c r="B70" s="198" t="s">
        <v>209</v>
      </c>
      <c r="C70" s="37" t="s">
        <v>210</v>
      </c>
      <c r="D70" s="103">
        <v>256</v>
      </c>
      <c r="E70" s="122">
        <v>923669</v>
      </c>
      <c r="F70" s="122">
        <v>848634</v>
      </c>
      <c r="G70" s="238" t="s">
        <v>457</v>
      </c>
      <c r="H70" s="122">
        <v>75035</v>
      </c>
      <c r="I70" s="199">
        <v>0</v>
      </c>
      <c r="J70" s="199">
        <v>0</v>
      </c>
      <c r="K70" s="199">
        <v>0</v>
      </c>
      <c r="L70" s="122">
        <v>75035</v>
      </c>
    </row>
    <row r="71" spans="1:12" ht="15" customHeight="1" x14ac:dyDescent="0.2">
      <c r="A71" s="103" t="s">
        <v>131</v>
      </c>
      <c r="B71" s="198" t="s">
        <v>82</v>
      </c>
      <c r="C71" s="37" t="s">
        <v>83</v>
      </c>
      <c r="D71" s="103">
        <v>237</v>
      </c>
      <c r="E71" s="122">
        <v>707987</v>
      </c>
      <c r="F71" s="122">
        <v>672870</v>
      </c>
      <c r="G71" s="238" t="s">
        <v>457</v>
      </c>
      <c r="H71" s="122">
        <v>35117</v>
      </c>
      <c r="I71" s="199">
        <v>0</v>
      </c>
      <c r="J71" s="199">
        <v>0</v>
      </c>
      <c r="K71" s="199">
        <v>0</v>
      </c>
      <c r="L71" s="122">
        <v>35117</v>
      </c>
    </row>
    <row r="72" spans="1:12" ht="15" customHeight="1" x14ac:dyDescent="0.2">
      <c r="A72" s="103" t="s">
        <v>131</v>
      </c>
      <c r="B72" s="198" t="s">
        <v>199</v>
      </c>
      <c r="C72" s="37" t="s">
        <v>200</v>
      </c>
      <c r="D72" s="103">
        <v>347</v>
      </c>
      <c r="E72" s="122">
        <v>4632603</v>
      </c>
      <c r="F72" s="122">
        <v>4204110</v>
      </c>
      <c r="G72" s="238" t="s">
        <v>457</v>
      </c>
      <c r="H72" s="122">
        <v>428493</v>
      </c>
      <c r="I72" s="199">
        <v>0</v>
      </c>
      <c r="J72" s="199">
        <v>0</v>
      </c>
      <c r="K72" s="199">
        <v>0</v>
      </c>
      <c r="L72" s="122">
        <v>428493</v>
      </c>
    </row>
    <row r="73" spans="1:12" ht="15" customHeight="1" x14ac:dyDescent="0.2">
      <c r="A73" s="103" t="s">
        <v>131</v>
      </c>
      <c r="B73" s="198" t="s">
        <v>202</v>
      </c>
      <c r="C73" s="37" t="s">
        <v>72</v>
      </c>
      <c r="D73" s="103">
        <v>238</v>
      </c>
      <c r="E73" s="122">
        <v>1134100</v>
      </c>
      <c r="F73" s="122">
        <v>1101222</v>
      </c>
      <c r="G73" s="238" t="s">
        <v>457</v>
      </c>
      <c r="H73" s="122">
        <v>32878</v>
      </c>
      <c r="I73" s="199">
        <v>0</v>
      </c>
      <c r="J73" s="199">
        <v>0</v>
      </c>
      <c r="K73" s="199">
        <v>0</v>
      </c>
      <c r="L73" s="122">
        <v>32878</v>
      </c>
    </row>
    <row r="74" spans="1:12" ht="15" customHeight="1" x14ac:dyDescent="0.2">
      <c r="A74" s="206" t="s">
        <v>386</v>
      </c>
      <c r="B74" s="239" t="s">
        <v>457</v>
      </c>
      <c r="C74" s="239" t="s">
        <v>457</v>
      </c>
      <c r="D74" s="239" t="s">
        <v>457</v>
      </c>
      <c r="E74" s="117">
        <f>SUBTOTAL(109,college200708[Program
Costs])</f>
        <v>22694213</v>
      </c>
      <c r="F74" s="117">
        <f>SUBTOTAL(109,college200708[Less: Net
 Payments and 
Offsets 2])</f>
        <v>20973335</v>
      </c>
      <c r="G74" s="239" t="s">
        <v>457</v>
      </c>
      <c r="H74" s="117">
        <f>SUBTOTAL(109,college200708[Accounts Payable
Balance])</f>
        <v>1720878</v>
      </c>
      <c r="I74" s="117">
        <f>SUBTOTAL(109,college200708[Established
Accounts Receivable])</f>
        <v>2671310</v>
      </c>
      <c r="J74" s="117">
        <f>SUBTOTAL(109,college200708[Less: 
Recovered 
Amount])</f>
        <v>1014132</v>
      </c>
      <c r="K74" s="117">
        <f>SUBTOTAL(109,college200708[Accounts Receivable
Balance])</f>
        <v>1657178</v>
      </c>
      <c r="L74" s="117">
        <f>SUBTOTAL(109,college200708[Net
Balance])</f>
        <v>63700</v>
      </c>
    </row>
    <row r="75" spans="1:12" x14ac:dyDescent="0.2">
      <c r="A75" s="169" t="s">
        <v>463</v>
      </c>
      <c r="B75" s="240"/>
      <c r="C75" s="119"/>
      <c r="D75" s="103"/>
      <c r="E75" s="241"/>
      <c r="F75" s="241"/>
      <c r="G75" s="242"/>
      <c r="H75" s="241"/>
      <c r="I75" s="241"/>
      <c r="J75" s="243"/>
      <c r="K75" s="241"/>
      <c r="L75" s="211"/>
    </row>
    <row r="76" spans="1:12" ht="50.1" customHeight="1" x14ac:dyDescent="0.2">
      <c r="A76" s="40" t="s">
        <v>1</v>
      </c>
      <c r="B76" s="40" t="s">
        <v>15</v>
      </c>
      <c r="C76" s="40" t="s">
        <v>16</v>
      </c>
      <c r="D76" s="40" t="s">
        <v>454</v>
      </c>
      <c r="E76" s="230" t="s">
        <v>3</v>
      </c>
      <c r="F76" s="40" t="s">
        <v>592</v>
      </c>
      <c r="G76" s="245" t="s">
        <v>462</v>
      </c>
      <c r="H76" s="230" t="s">
        <v>461</v>
      </c>
      <c r="I76" s="197" t="s">
        <v>460</v>
      </c>
      <c r="J76" s="230" t="s">
        <v>459</v>
      </c>
      <c r="K76" s="230" t="s">
        <v>458</v>
      </c>
      <c r="L76" s="230" t="s">
        <v>17</v>
      </c>
    </row>
    <row r="77" spans="1:12" s="229" customFormat="1" ht="15" customHeight="1" x14ac:dyDescent="0.2">
      <c r="A77" s="103" t="s">
        <v>136</v>
      </c>
      <c r="B77" s="198" t="s">
        <v>213</v>
      </c>
      <c r="C77" s="37" t="s">
        <v>214</v>
      </c>
      <c r="D77" s="103">
        <v>270</v>
      </c>
      <c r="E77" s="122">
        <v>83423</v>
      </c>
      <c r="F77" s="122">
        <v>81632</v>
      </c>
      <c r="G77" s="238" t="s">
        <v>457</v>
      </c>
      <c r="H77" s="122">
        <v>1791</v>
      </c>
      <c r="I77" s="199">
        <v>0</v>
      </c>
      <c r="J77" s="199">
        <v>0</v>
      </c>
      <c r="K77" s="199">
        <v>0</v>
      </c>
      <c r="L77" s="122">
        <v>1791</v>
      </c>
    </row>
    <row r="78" spans="1:12" s="244" customFormat="1" ht="15" customHeight="1" x14ac:dyDescent="0.2">
      <c r="A78" s="103" t="s">
        <v>136</v>
      </c>
      <c r="B78" s="198" t="s">
        <v>211</v>
      </c>
      <c r="C78" s="37" t="s">
        <v>212</v>
      </c>
      <c r="D78" s="103">
        <v>302</v>
      </c>
      <c r="E78" s="122">
        <v>21582</v>
      </c>
      <c r="F78" s="122">
        <v>19807</v>
      </c>
      <c r="G78" s="238" t="s">
        <v>457</v>
      </c>
      <c r="H78" s="122">
        <v>1775</v>
      </c>
      <c r="I78" s="199">
        <v>0</v>
      </c>
      <c r="J78" s="199">
        <v>0</v>
      </c>
      <c r="K78" s="199">
        <v>0</v>
      </c>
      <c r="L78" s="122">
        <v>1775</v>
      </c>
    </row>
    <row r="79" spans="1:12" ht="30" customHeight="1" x14ac:dyDescent="0.2">
      <c r="A79" s="103" t="s">
        <v>136</v>
      </c>
      <c r="B79" s="198" t="s">
        <v>215</v>
      </c>
      <c r="C79" s="37" t="s">
        <v>216</v>
      </c>
      <c r="D79" s="103">
        <v>287</v>
      </c>
      <c r="E79" s="122">
        <v>57897</v>
      </c>
      <c r="F79" s="122">
        <v>56416</v>
      </c>
      <c r="G79" s="238" t="s">
        <v>457</v>
      </c>
      <c r="H79" s="122">
        <v>1481</v>
      </c>
      <c r="I79" s="199">
        <v>0</v>
      </c>
      <c r="J79" s="199">
        <v>0</v>
      </c>
      <c r="K79" s="199">
        <v>0</v>
      </c>
      <c r="L79" s="122">
        <v>1481</v>
      </c>
    </row>
    <row r="80" spans="1:12" ht="15" customHeight="1" x14ac:dyDescent="0.2">
      <c r="A80" s="103" t="s">
        <v>136</v>
      </c>
      <c r="B80" s="198" t="s">
        <v>197</v>
      </c>
      <c r="C80" s="37" t="s">
        <v>198</v>
      </c>
      <c r="D80" s="103">
        <v>267</v>
      </c>
      <c r="E80" s="122">
        <v>4248500</v>
      </c>
      <c r="F80" s="122">
        <v>3796742</v>
      </c>
      <c r="G80" s="238" t="s">
        <v>457</v>
      </c>
      <c r="H80" s="122">
        <v>451758</v>
      </c>
      <c r="I80" s="199">
        <v>0</v>
      </c>
      <c r="J80" s="199">
        <v>0</v>
      </c>
      <c r="K80" s="199">
        <v>0</v>
      </c>
      <c r="L80" s="122">
        <v>451758</v>
      </c>
    </row>
    <row r="81" spans="1:12" ht="15" customHeight="1" x14ac:dyDescent="0.2">
      <c r="A81" s="103" t="s">
        <v>136</v>
      </c>
      <c r="B81" s="198" t="s">
        <v>205</v>
      </c>
      <c r="C81" s="37" t="s">
        <v>206</v>
      </c>
      <c r="D81" s="103">
        <v>234</v>
      </c>
      <c r="E81" s="122">
        <v>2117214</v>
      </c>
      <c r="F81" s="122">
        <v>2079660</v>
      </c>
      <c r="G81" s="238" t="s">
        <v>457</v>
      </c>
      <c r="H81" s="122">
        <v>37554</v>
      </c>
      <c r="I81" s="122">
        <v>3094765</v>
      </c>
      <c r="J81" s="122">
        <v>2027098</v>
      </c>
      <c r="K81" s="122">
        <v>1067667</v>
      </c>
      <c r="L81" s="122">
        <v>-1030113</v>
      </c>
    </row>
    <row r="82" spans="1:12" s="229" customFormat="1" ht="15" customHeight="1" x14ac:dyDescent="0.2">
      <c r="A82" s="103" t="s">
        <v>136</v>
      </c>
      <c r="B82" s="198" t="s">
        <v>82</v>
      </c>
      <c r="C82" s="37" t="s">
        <v>83</v>
      </c>
      <c r="D82" s="103">
        <v>237</v>
      </c>
      <c r="E82" s="122">
        <v>853887</v>
      </c>
      <c r="F82" s="122">
        <v>840901</v>
      </c>
      <c r="G82" s="238" t="s">
        <v>457</v>
      </c>
      <c r="H82" s="122">
        <v>12986</v>
      </c>
      <c r="I82" s="199">
        <v>0</v>
      </c>
      <c r="J82" s="199">
        <v>0</v>
      </c>
      <c r="K82" s="199">
        <v>0</v>
      </c>
      <c r="L82" s="122">
        <v>12986</v>
      </c>
    </row>
    <row r="83" spans="1:12" s="244" customFormat="1" ht="15" customHeight="1" x14ac:dyDescent="0.2">
      <c r="A83" s="103" t="s">
        <v>136</v>
      </c>
      <c r="B83" s="198" t="s">
        <v>199</v>
      </c>
      <c r="C83" s="37" t="s">
        <v>200</v>
      </c>
      <c r="D83" s="103">
        <v>347</v>
      </c>
      <c r="E83" s="122">
        <v>4028725</v>
      </c>
      <c r="F83" s="122">
        <v>3654701</v>
      </c>
      <c r="G83" s="238" t="s">
        <v>457</v>
      </c>
      <c r="H83" s="122">
        <v>374024</v>
      </c>
      <c r="I83" s="122">
        <v>827296</v>
      </c>
      <c r="J83" s="122">
        <v>827296</v>
      </c>
      <c r="K83" s="199">
        <v>0</v>
      </c>
      <c r="L83" s="122">
        <v>374024</v>
      </c>
    </row>
    <row r="84" spans="1:12" ht="15" customHeight="1" x14ac:dyDescent="0.2">
      <c r="A84" s="103" t="s">
        <v>136</v>
      </c>
      <c r="B84" s="198" t="s">
        <v>202</v>
      </c>
      <c r="C84" s="37" t="s">
        <v>72</v>
      </c>
      <c r="D84" s="103">
        <v>238</v>
      </c>
      <c r="E84" s="122">
        <v>977889</v>
      </c>
      <c r="F84" s="122">
        <v>963273</v>
      </c>
      <c r="G84" s="238" t="s">
        <v>457</v>
      </c>
      <c r="H84" s="122">
        <v>14616</v>
      </c>
      <c r="I84" s="199">
        <v>0</v>
      </c>
      <c r="J84" s="199">
        <v>0</v>
      </c>
      <c r="K84" s="199">
        <v>0</v>
      </c>
      <c r="L84" s="122">
        <v>14616</v>
      </c>
    </row>
    <row r="85" spans="1:12" s="229" customFormat="1" ht="15" customHeight="1" x14ac:dyDescent="0.2">
      <c r="A85" s="206" t="s">
        <v>387</v>
      </c>
      <c r="B85" s="239" t="s">
        <v>457</v>
      </c>
      <c r="C85" s="239" t="s">
        <v>457</v>
      </c>
      <c r="D85" s="239" t="s">
        <v>457</v>
      </c>
      <c r="E85" s="117">
        <f>SUBTOTAL(109,college200607[Program
Costs])</f>
        <v>12389117</v>
      </c>
      <c r="F85" s="117">
        <f>SUBTOTAL(109,college200607[Less: Net
 Payments and 
Offsets 2])</f>
        <v>11493132</v>
      </c>
      <c r="G85" s="239" t="s">
        <v>457</v>
      </c>
      <c r="H85" s="117">
        <f>SUBTOTAL(109,college200607[Accounts Payable
Balance])</f>
        <v>895985</v>
      </c>
      <c r="I85" s="117">
        <f>SUBTOTAL(109,college200607[Established
Accounts Receivable])</f>
        <v>3922061</v>
      </c>
      <c r="J85" s="117">
        <f>SUBTOTAL(109,college200607[Less: 
Recovered 
Amount])</f>
        <v>2854394</v>
      </c>
      <c r="K85" s="117">
        <f>SUBTOTAL(109,college200607[Accounts Receivable
Balance])</f>
        <v>1067667</v>
      </c>
      <c r="L85" s="117">
        <f>SUBTOTAL(109,college200607[Net
Balance])</f>
        <v>-171682</v>
      </c>
    </row>
    <row r="86" spans="1:12" s="244" customFormat="1" ht="15.75" customHeight="1" x14ac:dyDescent="0.2">
      <c r="A86" s="169" t="s">
        <v>463</v>
      </c>
      <c r="B86" s="240"/>
      <c r="C86" s="119"/>
      <c r="D86" s="103"/>
      <c r="E86" s="241"/>
      <c r="F86" s="241"/>
      <c r="G86" s="242"/>
      <c r="H86" s="241"/>
      <c r="I86" s="241"/>
      <c r="J86" s="243"/>
      <c r="K86" s="241"/>
      <c r="L86" s="211"/>
    </row>
    <row r="87" spans="1:12" ht="50.1" customHeight="1" x14ac:dyDescent="0.2">
      <c r="A87" s="40" t="s">
        <v>1</v>
      </c>
      <c r="B87" s="40" t="s">
        <v>15</v>
      </c>
      <c r="C87" s="40" t="s">
        <v>16</v>
      </c>
      <c r="D87" s="40" t="s">
        <v>454</v>
      </c>
      <c r="E87" s="230" t="s">
        <v>3</v>
      </c>
      <c r="F87" s="40" t="s">
        <v>592</v>
      </c>
      <c r="G87" s="245" t="s">
        <v>462</v>
      </c>
      <c r="H87" s="230" t="s">
        <v>461</v>
      </c>
      <c r="I87" s="197" t="s">
        <v>460</v>
      </c>
      <c r="J87" s="230" t="s">
        <v>459</v>
      </c>
      <c r="K87" s="230" t="s">
        <v>458</v>
      </c>
      <c r="L87" s="230" t="s">
        <v>17</v>
      </c>
    </row>
    <row r="88" spans="1:12" ht="15" customHeight="1" x14ac:dyDescent="0.2">
      <c r="A88" s="103" t="s">
        <v>137</v>
      </c>
      <c r="B88" s="198" t="s">
        <v>205</v>
      </c>
      <c r="C88" s="37" t="s">
        <v>206</v>
      </c>
      <c r="D88" s="103">
        <v>234</v>
      </c>
      <c r="E88" s="122">
        <v>3298552</v>
      </c>
      <c r="F88" s="122">
        <v>3211845</v>
      </c>
      <c r="G88" s="238" t="s">
        <v>457</v>
      </c>
      <c r="H88" s="122">
        <v>86707</v>
      </c>
      <c r="I88" s="199">
        <v>0</v>
      </c>
      <c r="J88" s="199">
        <v>0</v>
      </c>
      <c r="K88" s="199">
        <v>0</v>
      </c>
      <c r="L88" s="122">
        <v>86707</v>
      </c>
    </row>
    <row r="89" spans="1:12" ht="15" customHeight="1" x14ac:dyDescent="0.2">
      <c r="A89" s="103" t="s">
        <v>137</v>
      </c>
      <c r="B89" s="198" t="s">
        <v>82</v>
      </c>
      <c r="C89" s="37" t="s">
        <v>83</v>
      </c>
      <c r="D89" s="103">
        <v>237</v>
      </c>
      <c r="E89" s="122">
        <v>892507</v>
      </c>
      <c r="F89" s="122">
        <v>892507</v>
      </c>
      <c r="G89" s="238" t="s">
        <v>457</v>
      </c>
      <c r="H89" s="199">
        <v>0</v>
      </c>
      <c r="I89" s="122">
        <v>159704</v>
      </c>
      <c r="J89" s="122">
        <v>145885</v>
      </c>
      <c r="K89" s="122">
        <v>13819</v>
      </c>
      <c r="L89" s="122">
        <v>-13819</v>
      </c>
    </row>
    <row r="90" spans="1:12" s="229" customFormat="1" ht="15" customHeight="1" x14ac:dyDescent="0.2">
      <c r="A90" s="103" t="s">
        <v>137</v>
      </c>
      <c r="B90" s="198" t="s">
        <v>202</v>
      </c>
      <c r="C90" s="37" t="s">
        <v>72</v>
      </c>
      <c r="D90" s="103">
        <v>238</v>
      </c>
      <c r="E90" s="122">
        <v>916470</v>
      </c>
      <c r="F90" s="122">
        <v>916470</v>
      </c>
      <c r="G90" s="238" t="s">
        <v>457</v>
      </c>
      <c r="H90" s="199">
        <v>0</v>
      </c>
      <c r="I90" s="122">
        <v>146531</v>
      </c>
      <c r="J90" s="122">
        <v>105462</v>
      </c>
      <c r="K90" s="122">
        <v>41069</v>
      </c>
      <c r="L90" s="122">
        <v>-41069</v>
      </c>
    </row>
    <row r="91" spans="1:12" s="244" customFormat="1" ht="15" customHeight="1" x14ac:dyDescent="0.2">
      <c r="A91" s="206" t="s">
        <v>388</v>
      </c>
      <c r="B91" s="239" t="s">
        <v>457</v>
      </c>
      <c r="C91" s="239" t="s">
        <v>457</v>
      </c>
      <c r="D91" s="239" t="s">
        <v>457</v>
      </c>
      <c r="E91" s="117">
        <f>SUBTOTAL(109,college200506[Program
Costs])</f>
        <v>5107529</v>
      </c>
      <c r="F91" s="117">
        <f>SUBTOTAL(109,college200506[Less: Net
 Payments and 
Offsets 2])</f>
        <v>5020822</v>
      </c>
      <c r="G91" s="239" t="s">
        <v>457</v>
      </c>
      <c r="H91" s="117">
        <f>SUBTOTAL(109,college200506[Accounts Payable
Balance])</f>
        <v>86707</v>
      </c>
      <c r="I91" s="117">
        <f>SUBTOTAL(109,college200506[Established
Accounts Receivable])</f>
        <v>306235</v>
      </c>
      <c r="J91" s="117">
        <f>SUBTOTAL(109,college200506[Less: 
Recovered 
Amount])</f>
        <v>251347</v>
      </c>
      <c r="K91" s="117">
        <f>SUBTOTAL(109,college200506[Accounts Receivable
Balance])</f>
        <v>54888</v>
      </c>
      <c r="L91" s="117">
        <f>SUBTOTAL(109,college200506[Net
Balance])</f>
        <v>31819</v>
      </c>
    </row>
    <row r="92" spans="1:12" ht="15.75" customHeight="1" x14ac:dyDescent="0.2">
      <c r="A92" s="169" t="s">
        <v>463</v>
      </c>
      <c r="B92" s="240"/>
      <c r="C92" s="119"/>
      <c r="D92" s="103"/>
      <c r="E92" s="241"/>
      <c r="F92" s="241"/>
      <c r="G92" s="242"/>
      <c r="H92" s="241"/>
      <c r="I92" s="241"/>
      <c r="J92" s="243"/>
      <c r="K92" s="241"/>
      <c r="L92" s="211"/>
    </row>
    <row r="93" spans="1:12" ht="48" x14ac:dyDescent="0.2">
      <c r="A93" s="40" t="s">
        <v>1</v>
      </c>
      <c r="B93" s="40" t="s">
        <v>15</v>
      </c>
      <c r="C93" s="40" t="s">
        <v>16</v>
      </c>
      <c r="D93" s="40" t="s">
        <v>454</v>
      </c>
      <c r="E93" s="230" t="s">
        <v>3</v>
      </c>
      <c r="F93" s="40" t="s">
        <v>592</v>
      </c>
      <c r="G93" s="245" t="s">
        <v>462</v>
      </c>
      <c r="H93" s="230" t="s">
        <v>461</v>
      </c>
      <c r="I93" s="197" t="s">
        <v>460</v>
      </c>
      <c r="J93" s="230" t="s">
        <v>459</v>
      </c>
      <c r="K93" s="230" t="s">
        <v>458</v>
      </c>
      <c r="L93" s="230" t="s">
        <v>17</v>
      </c>
    </row>
    <row r="94" spans="1:12" ht="15" customHeight="1" x14ac:dyDescent="0.2">
      <c r="A94" s="103" t="s">
        <v>139</v>
      </c>
      <c r="B94" s="198" t="s">
        <v>209</v>
      </c>
      <c r="C94" s="37" t="s">
        <v>210</v>
      </c>
      <c r="D94" s="103">
        <v>256</v>
      </c>
      <c r="E94" s="122">
        <v>948601</v>
      </c>
      <c r="F94" s="122">
        <v>935719</v>
      </c>
      <c r="G94" s="238" t="s">
        <v>457</v>
      </c>
      <c r="H94" s="122">
        <v>12882</v>
      </c>
      <c r="I94" s="122">
        <v>408288</v>
      </c>
      <c r="J94" s="122">
        <v>408288</v>
      </c>
      <c r="K94" s="199">
        <v>0</v>
      </c>
      <c r="L94" s="122">
        <v>12882</v>
      </c>
    </row>
    <row r="95" spans="1:12" s="229" customFormat="1" ht="15" customHeight="1" x14ac:dyDescent="0.2">
      <c r="A95" s="206" t="s">
        <v>390</v>
      </c>
      <c r="B95" s="239" t="s">
        <v>457</v>
      </c>
      <c r="C95" s="239" t="s">
        <v>457</v>
      </c>
      <c r="D95" s="239" t="s">
        <v>457</v>
      </c>
      <c r="E95" s="117">
        <f>SUBTOTAL(109,college200304[Program
Costs])</f>
        <v>948601</v>
      </c>
      <c r="F95" s="117">
        <f>SUBTOTAL(109,college200304[Less: Net
 Payments and 
Offsets 2])</f>
        <v>935719</v>
      </c>
      <c r="G95" s="239" t="s">
        <v>457</v>
      </c>
      <c r="H95" s="117">
        <f>SUBTOTAL(109,college200304[Accounts Payable
Balance])</f>
        <v>12882</v>
      </c>
      <c r="I95" s="117">
        <f>SUBTOTAL(109,college200304[Established
Accounts Receivable])</f>
        <v>408288</v>
      </c>
      <c r="J95" s="117">
        <f>SUBTOTAL(109,college200304[Less: 
Recovered 
Amount])</f>
        <v>408288</v>
      </c>
      <c r="K95" s="204">
        <f>SUBTOTAL(109,college200304[Accounts Receivable
Balance])</f>
        <v>0</v>
      </c>
      <c r="L95" s="117">
        <f>SUBTOTAL(109,college200304[Net
Balance])</f>
        <v>12882</v>
      </c>
    </row>
    <row r="96" spans="1:12" s="244" customFormat="1" ht="15.75" customHeight="1" x14ac:dyDescent="0.2">
      <c r="A96" s="169" t="s">
        <v>463</v>
      </c>
      <c r="B96" s="240"/>
      <c r="C96" s="119"/>
      <c r="D96" s="103"/>
      <c r="E96" s="241"/>
      <c r="F96" s="241"/>
      <c r="G96" s="242"/>
      <c r="H96" s="241"/>
      <c r="I96" s="241"/>
      <c r="J96" s="243"/>
      <c r="K96" s="241"/>
      <c r="L96" s="211"/>
    </row>
    <row r="97" spans="1:12" ht="48" x14ac:dyDescent="0.2">
      <c r="A97" s="40" t="s">
        <v>1</v>
      </c>
      <c r="B97" s="40" t="s">
        <v>15</v>
      </c>
      <c r="C97" s="40" t="s">
        <v>16</v>
      </c>
      <c r="D97" s="40" t="s">
        <v>454</v>
      </c>
      <c r="E97" s="230" t="s">
        <v>3</v>
      </c>
      <c r="F97" s="40" t="s">
        <v>592</v>
      </c>
      <c r="G97" s="245" t="s">
        <v>462</v>
      </c>
      <c r="H97" s="230" t="s">
        <v>461</v>
      </c>
      <c r="I97" s="197" t="s">
        <v>460</v>
      </c>
      <c r="J97" s="230" t="s">
        <v>459</v>
      </c>
      <c r="K97" s="230" t="s">
        <v>458</v>
      </c>
      <c r="L97" s="230" t="s">
        <v>17</v>
      </c>
    </row>
    <row r="98" spans="1:12" s="229" customFormat="1" ht="30" customHeight="1" x14ac:dyDescent="0.2">
      <c r="A98" s="103" t="s">
        <v>140</v>
      </c>
      <c r="B98" s="198" t="s">
        <v>195</v>
      </c>
      <c r="C98" s="37" t="s">
        <v>196</v>
      </c>
      <c r="D98" s="103">
        <v>232</v>
      </c>
      <c r="E98" s="122">
        <v>7841169</v>
      </c>
      <c r="F98" s="122">
        <v>7841169</v>
      </c>
      <c r="G98" s="238" t="s">
        <v>457</v>
      </c>
      <c r="H98" s="199">
        <v>0</v>
      </c>
      <c r="I98" s="122">
        <v>595489</v>
      </c>
      <c r="J98" s="122">
        <v>371172</v>
      </c>
      <c r="K98" s="122">
        <v>224317</v>
      </c>
      <c r="L98" s="122">
        <v>-224317</v>
      </c>
    </row>
    <row r="99" spans="1:12" s="244" customFormat="1" ht="15" customHeight="1" x14ac:dyDescent="0.2">
      <c r="A99" s="103" t="s">
        <v>140</v>
      </c>
      <c r="B99" s="198" t="s">
        <v>205</v>
      </c>
      <c r="C99" s="37" t="s">
        <v>206</v>
      </c>
      <c r="D99" s="103">
        <v>234</v>
      </c>
      <c r="E99" s="122">
        <v>5439156</v>
      </c>
      <c r="F99" s="122">
        <v>5439156</v>
      </c>
      <c r="G99" s="238" t="s">
        <v>457</v>
      </c>
      <c r="H99" s="199">
        <v>0</v>
      </c>
      <c r="I99" s="122">
        <v>3547273</v>
      </c>
      <c r="J99" s="122">
        <v>2826984</v>
      </c>
      <c r="K99" s="122">
        <v>720289</v>
      </c>
      <c r="L99" s="122">
        <v>-720289</v>
      </c>
    </row>
    <row r="100" spans="1:12" ht="15" customHeight="1" x14ac:dyDescent="0.2">
      <c r="A100" s="103" t="s">
        <v>140</v>
      </c>
      <c r="B100" s="198" t="s">
        <v>209</v>
      </c>
      <c r="C100" s="37" t="s">
        <v>210</v>
      </c>
      <c r="D100" s="103">
        <v>256</v>
      </c>
      <c r="E100" s="122">
        <v>1631298</v>
      </c>
      <c r="F100" s="122">
        <v>1621000</v>
      </c>
      <c r="G100" s="238" t="s">
        <v>457</v>
      </c>
      <c r="H100" s="122">
        <v>10298</v>
      </c>
      <c r="I100" s="122">
        <v>173451</v>
      </c>
      <c r="J100" s="122">
        <v>79181</v>
      </c>
      <c r="K100" s="122">
        <v>94270</v>
      </c>
      <c r="L100" s="122">
        <v>-83972</v>
      </c>
    </row>
    <row r="101" spans="1:12" s="229" customFormat="1" ht="15" customHeight="1" x14ac:dyDescent="0.2">
      <c r="A101" s="206" t="s">
        <v>391</v>
      </c>
      <c r="B101" s="239" t="s">
        <v>457</v>
      </c>
      <c r="C101" s="239" t="s">
        <v>457</v>
      </c>
      <c r="D101" s="239" t="s">
        <v>457</v>
      </c>
      <c r="E101" s="117">
        <f>SUBTOTAL(109,college200203[Program
Costs])</f>
        <v>14911623</v>
      </c>
      <c r="F101" s="117">
        <f>SUBTOTAL(109,college200203[Less: Net
 Payments and 
Offsets 2])</f>
        <v>14901325</v>
      </c>
      <c r="G101" s="239" t="s">
        <v>457</v>
      </c>
      <c r="H101" s="117">
        <f>SUBTOTAL(109,college200203[Accounts Payable
Balance])</f>
        <v>10298</v>
      </c>
      <c r="I101" s="117">
        <f>SUBTOTAL(109,college200203[Established
Accounts Receivable])</f>
        <v>4316213</v>
      </c>
      <c r="J101" s="117">
        <f>SUBTOTAL(109,college200203[Less: 
Recovered 
Amount])</f>
        <v>3277337</v>
      </c>
      <c r="K101" s="117">
        <f>SUBTOTAL(109,college200203[Accounts Receivable
Balance])</f>
        <v>1038876</v>
      </c>
      <c r="L101" s="117">
        <f>SUBTOTAL(109,college200203[Net
Balance])</f>
        <v>-1028578</v>
      </c>
    </row>
    <row r="102" spans="1:12" s="244" customFormat="1" ht="15.75" customHeight="1" x14ac:dyDescent="0.2">
      <c r="A102" s="169" t="s">
        <v>463</v>
      </c>
      <c r="B102" s="240"/>
      <c r="C102" s="119"/>
      <c r="D102" s="103"/>
      <c r="E102" s="241"/>
      <c r="F102" s="241"/>
      <c r="G102" s="242"/>
      <c r="H102" s="241"/>
      <c r="I102" s="241"/>
      <c r="J102" s="243"/>
      <c r="K102" s="241"/>
      <c r="L102" s="211"/>
    </row>
    <row r="103" spans="1:12" ht="48" x14ac:dyDescent="0.2">
      <c r="A103" s="40" t="s">
        <v>1</v>
      </c>
      <c r="B103" s="40" t="s">
        <v>15</v>
      </c>
      <c r="C103" s="40" t="s">
        <v>16</v>
      </c>
      <c r="D103" s="40" t="s">
        <v>454</v>
      </c>
      <c r="E103" s="230" t="s">
        <v>3</v>
      </c>
      <c r="F103" s="40" t="s">
        <v>592</v>
      </c>
      <c r="G103" s="245" t="s">
        <v>462</v>
      </c>
      <c r="H103" s="230" t="s">
        <v>461</v>
      </c>
      <c r="I103" s="197" t="s">
        <v>460</v>
      </c>
      <c r="J103" s="230" t="s">
        <v>459</v>
      </c>
      <c r="K103" s="230" t="s">
        <v>458</v>
      </c>
      <c r="L103" s="230" t="s">
        <v>17</v>
      </c>
    </row>
    <row r="104" spans="1:12" s="229" customFormat="1" ht="30" customHeight="1" x14ac:dyDescent="0.2">
      <c r="A104" s="103" t="s">
        <v>141</v>
      </c>
      <c r="B104" s="198" t="s">
        <v>195</v>
      </c>
      <c r="C104" s="37" t="s">
        <v>196</v>
      </c>
      <c r="D104" s="103">
        <v>232</v>
      </c>
      <c r="E104" s="122">
        <v>9111555</v>
      </c>
      <c r="F104" s="122">
        <v>9111555</v>
      </c>
      <c r="G104" s="238" t="s">
        <v>457</v>
      </c>
      <c r="H104" s="199">
        <v>0</v>
      </c>
      <c r="I104" s="122">
        <v>974170</v>
      </c>
      <c r="J104" s="122">
        <v>940305</v>
      </c>
      <c r="K104" s="122">
        <v>33865</v>
      </c>
      <c r="L104" s="122">
        <v>-33865</v>
      </c>
    </row>
    <row r="105" spans="1:12" s="244" customFormat="1" ht="15" customHeight="1" x14ac:dyDescent="0.2">
      <c r="A105" s="103" t="s">
        <v>141</v>
      </c>
      <c r="B105" s="198" t="s">
        <v>205</v>
      </c>
      <c r="C105" s="37" t="s">
        <v>206</v>
      </c>
      <c r="D105" s="103">
        <v>234</v>
      </c>
      <c r="E105" s="122">
        <v>4879964</v>
      </c>
      <c r="F105" s="122">
        <v>4879964</v>
      </c>
      <c r="G105" s="238" t="s">
        <v>457</v>
      </c>
      <c r="H105" s="199">
        <v>0</v>
      </c>
      <c r="I105" s="122">
        <v>1191500</v>
      </c>
      <c r="J105" s="122">
        <v>934750</v>
      </c>
      <c r="K105" s="122">
        <v>256750</v>
      </c>
      <c r="L105" s="122">
        <v>-256750</v>
      </c>
    </row>
    <row r="106" spans="1:12" ht="15" customHeight="1" x14ac:dyDescent="0.2">
      <c r="A106" s="103" t="s">
        <v>141</v>
      </c>
      <c r="B106" s="198" t="s">
        <v>209</v>
      </c>
      <c r="C106" s="37" t="s">
        <v>210</v>
      </c>
      <c r="D106" s="103">
        <v>256</v>
      </c>
      <c r="E106" s="122">
        <v>1574646</v>
      </c>
      <c r="F106" s="122">
        <v>1571441</v>
      </c>
      <c r="G106" s="238" t="s">
        <v>457</v>
      </c>
      <c r="H106" s="122">
        <v>3205</v>
      </c>
      <c r="I106" s="122">
        <v>71971</v>
      </c>
      <c r="J106" s="122">
        <v>36921</v>
      </c>
      <c r="K106" s="122">
        <v>35050</v>
      </c>
      <c r="L106" s="122">
        <v>-31845</v>
      </c>
    </row>
    <row r="107" spans="1:12" ht="15" customHeight="1" x14ac:dyDescent="0.2">
      <c r="A107" s="206" t="s">
        <v>392</v>
      </c>
      <c r="B107" s="239" t="s">
        <v>457</v>
      </c>
      <c r="C107" s="239" t="s">
        <v>457</v>
      </c>
      <c r="D107" s="239" t="s">
        <v>457</v>
      </c>
      <c r="E107" s="117">
        <f>SUBTOTAL(109,college200102[Program
Costs])</f>
        <v>15566165</v>
      </c>
      <c r="F107" s="117">
        <f>SUBTOTAL(109,college200102[Less: Net
 Payments and 
Offsets 2])</f>
        <v>15562960</v>
      </c>
      <c r="G107" s="239" t="s">
        <v>457</v>
      </c>
      <c r="H107" s="117">
        <f>SUBTOTAL(109,college200102[Accounts Payable
Balance])</f>
        <v>3205</v>
      </c>
      <c r="I107" s="117">
        <f>SUBTOTAL(109,college200102[Established
Accounts Receivable])</f>
        <v>2237641</v>
      </c>
      <c r="J107" s="117">
        <f>SUBTOTAL(109,college200102[Less: 
Recovered 
Amount])</f>
        <v>1911976</v>
      </c>
      <c r="K107" s="117">
        <f>SUBTOTAL(109,college200102[Accounts Receivable
Balance])</f>
        <v>325665</v>
      </c>
      <c r="L107" s="117">
        <f>SUBTOTAL(109,college200102[Net
Balance])</f>
        <v>-322460</v>
      </c>
    </row>
    <row r="108" spans="1:12" x14ac:dyDescent="0.2">
      <c r="A108" s="169" t="s">
        <v>463</v>
      </c>
      <c r="B108" s="240"/>
      <c r="C108" s="119"/>
      <c r="D108" s="103"/>
      <c r="E108" s="241"/>
      <c r="F108" s="241"/>
      <c r="G108" s="242"/>
      <c r="H108" s="241"/>
      <c r="I108" s="241"/>
      <c r="J108" s="243"/>
      <c r="K108" s="241"/>
      <c r="L108" s="211"/>
    </row>
    <row r="109" spans="1:12" ht="48" x14ac:dyDescent="0.2">
      <c r="A109" s="40" t="s">
        <v>1</v>
      </c>
      <c r="B109" s="40" t="s">
        <v>15</v>
      </c>
      <c r="C109" s="40" t="s">
        <v>16</v>
      </c>
      <c r="D109" s="40" t="s">
        <v>454</v>
      </c>
      <c r="E109" s="230" t="s">
        <v>3</v>
      </c>
      <c r="F109" s="40" t="s">
        <v>592</v>
      </c>
      <c r="G109" s="245" t="s">
        <v>462</v>
      </c>
      <c r="H109" s="230" t="s">
        <v>461</v>
      </c>
      <c r="I109" s="197" t="s">
        <v>460</v>
      </c>
      <c r="J109" s="230" t="s">
        <v>459</v>
      </c>
      <c r="K109" s="230" t="s">
        <v>458</v>
      </c>
      <c r="L109" s="230" t="s">
        <v>17</v>
      </c>
    </row>
    <row r="110" spans="1:12" ht="15" customHeight="1" x14ac:dyDescent="0.2">
      <c r="A110" s="103" t="s">
        <v>144</v>
      </c>
      <c r="B110" s="198" t="s">
        <v>82</v>
      </c>
      <c r="C110" s="37" t="s">
        <v>83</v>
      </c>
      <c r="D110" s="103">
        <v>237</v>
      </c>
      <c r="E110" s="122">
        <v>614433</v>
      </c>
      <c r="F110" s="122">
        <v>614433</v>
      </c>
      <c r="G110" s="238" t="s">
        <v>457</v>
      </c>
      <c r="H110" s="199">
        <v>0</v>
      </c>
      <c r="I110" s="122">
        <v>11162</v>
      </c>
      <c r="J110" s="122">
        <v>9987</v>
      </c>
      <c r="K110" s="122">
        <v>1175</v>
      </c>
      <c r="L110" s="122">
        <v>-1175</v>
      </c>
    </row>
    <row r="111" spans="1:12" ht="15" customHeight="1" x14ac:dyDescent="0.2">
      <c r="A111" s="206" t="s">
        <v>393</v>
      </c>
      <c r="B111" s="239" t="s">
        <v>457</v>
      </c>
      <c r="C111" s="239" t="s">
        <v>457</v>
      </c>
      <c r="D111" s="239" t="s">
        <v>457</v>
      </c>
      <c r="E111" s="117">
        <f>SUBTOTAL(109,college200001[Program
Costs])</f>
        <v>614433</v>
      </c>
      <c r="F111" s="117">
        <f>SUBTOTAL(109,college200001[Less: Net
 Payments and 
Offsets 2])</f>
        <v>614433</v>
      </c>
      <c r="G111" s="239" t="s">
        <v>457</v>
      </c>
      <c r="H111" s="204">
        <f>SUBTOTAL(109,college200001[Accounts Payable
Balance])</f>
        <v>0</v>
      </c>
      <c r="I111" s="117">
        <f>SUBTOTAL(109,college200001[Established
Accounts Receivable])</f>
        <v>11162</v>
      </c>
      <c r="J111" s="117">
        <f>SUBTOTAL(109,college200001[Less: 
Recovered 
Amount])</f>
        <v>9987</v>
      </c>
      <c r="K111" s="117">
        <f>SUBTOTAL(109,college200001[Accounts Receivable
Balance])</f>
        <v>1175</v>
      </c>
      <c r="L111" s="117">
        <f>SUBTOTAL(109,college200001[Net
Balance])</f>
        <v>-1175</v>
      </c>
    </row>
    <row r="112" spans="1:12" x14ac:dyDescent="0.2">
      <c r="A112" s="169" t="s">
        <v>463</v>
      </c>
      <c r="B112" s="240"/>
      <c r="C112" s="119"/>
      <c r="D112" s="103"/>
      <c r="E112" s="241"/>
      <c r="F112" s="241"/>
      <c r="G112" s="242"/>
      <c r="H112" s="241"/>
      <c r="I112" s="241"/>
      <c r="J112" s="243"/>
      <c r="K112" s="241"/>
      <c r="L112" s="211"/>
    </row>
    <row r="113" spans="1:12" ht="48" x14ac:dyDescent="0.2">
      <c r="A113" s="40" t="s">
        <v>1</v>
      </c>
      <c r="B113" s="40" t="s">
        <v>15</v>
      </c>
      <c r="C113" s="40" t="s">
        <v>16</v>
      </c>
      <c r="D113" s="40" t="s">
        <v>454</v>
      </c>
      <c r="E113" s="230" t="s">
        <v>3</v>
      </c>
      <c r="F113" s="40" t="s">
        <v>592</v>
      </c>
      <c r="G113" s="245" t="s">
        <v>462</v>
      </c>
      <c r="H113" s="230" t="s">
        <v>461</v>
      </c>
      <c r="I113" s="197" t="s">
        <v>460</v>
      </c>
      <c r="J113" s="230" t="s">
        <v>459</v>
      </c>
      <c r="K113" s="230" t="s">
        <v>458</v>
      </c>
      <c r="L113" s="230" t="s">
        <v>17</v>
      </c>
    </row>
    <row r="114" spans="1:12" ht="15" customHeight="1" x14ac:dyDescent="0.2">
      <c r="A114" s="103" t="s">
        <v>145</v>
      </c>
      <c r="B114" s="198" t="s">
        <v>82</v>
      </c>
      <c r="C114" s="37" t="s">
        <v>83</v>
      </c>
      <c r="D114" s="103">
        <v>237</v>
      </c>
      <c r="E114" s="122">
        <v>28469</v>
      </c>
      <c r="F114" s="122">
        <v>28469</v>
      </c>
      <c r="G114" s="246" t="s">
        <v>457</v>
      </c>
      <c r="H114" s="199">
        <v>0</v>
      </c>
      <c r="I114" s="122">
        <v>17658</v>
      </c>
      <c r="J114" s="122">
        <v>8829</v>
      </c>
      <c r="K114" s="122">
        <v>8829</v>
      </c>
      <c r="L114" s="122">
        <v>-8829</v>
      </c>
    </row>
    <row r="115" spans="1:12" ht="15" customHeight="1" x14ac:dyDescent="0.2">
      <c r="A115" s="206" t="s">
        <v>394</v>
      </c>
      <c r="B115" s="239" t="s">
        <v>457</v>
      </c>
      <c r="C115" s="239" t="s">
        <v>457</v>
      </c>
      <c r="D115" s="239" t="s">
        <v>457</v>
      </c>
      <c r="E115" s="117">
        <f>SUBTOTAL(109,college199900[Program
Costs])</f>
        <v>28469</v>
      </c>
      <c r="F115" s="117">
        <f>SUBTOTAL(109,college199900[Less: Net
 Payments and 
Offsets 2])</f>
        <v>28469</v>
      </c>
      <c r="G115" s="239" t="s">
        <v>457</v>
      </c>
      <c r="H115" s="204">
        <f>SUBTOTAL(109,college199900[Accounts Payable
Balance])</f>
        <v>0</v>
      </c>
      <c r="I115" s="117">
        <f>SUBTOTAL(109,college199900[Established
Accounts Receivable])</f>
        <v>17658</v>
      </c>
      <c r="J115" s="117">
        <f>SUBTOTAL(109,college199900[Less: 
Recovered 
Amount])</f>
        <v>8829</v>
      </c>
      <c r="K115" s="117">
        <f>SUBTOTAL(109,college199900[Accounts Receivable
Balance])</f>
        <v>8829</v>
      </c>
      <c r="L115" s="117">
        <f>SUBTOTAL(109,college199900[Net
Balance])</f>
        <v>-8829</v>
      </c>
    </row>
    <row r="116" spans="1:12" x14ac:dyDescent="0.2">
      <c r="A116" s="169" t="s">
        <v>463</v>
      </c>
      <c r="B116" s="240"/>
      <c r="C116" s="119"/>
      <c r="D116" s="103"/>
      <c r="E116" s="241"/>
      <c r="F116" s="241"/>
      <c r="G116" s="242"/>
      <c r="H116" s="241"/>
      <c r="I116" s="241"/>
      <c r="J116" s="243"/>
      <c r="K116" s="241"/>
      <c r="L116" s="211"/>
    </row>
    <row r="117" spans="1:12" ht="48" x14ac:dyDescent="0.2">
      <c r="A117" s="40" t="s">
        <v>1</v>
      </c>
      <c r="B117" s="40" t="s">
        <v>15</v>
      </c>
      <c r="C117" s="40" t="s">
        <v>16</v>
      </c>
      <c r="D117" s="40" t="s">
        <v>454</v>
      </c>
      <c r="E117" s="230" t="s">
        <v>3</v>
      </c>
      <c r="F117" s="40" t="s">
        <v>592</v>
      </c>
      <c r="G117" s="245" t="s">
        <v>462</v>
      </c>
      <c r="H117" s="230" t="s">
        <v>461</v>
      </c>
      <c r="I117" s="197" t="s">
        <v>460</v>
      </c>
      <c r="J117" s="230" t="s">
        <v>459</v>
      </c>
      <c r="K117" s="230" t="s">
        <v>458</v>
      </c>
      <c r="L117" s="230" t="s">
        <v>17</v>
      </c>
    </row>
    <row r="118" spans="1:12" ht="15" customHeight="1" x14ac:dyDescent="0.2">
      <c r="A118" s="103" t="s">
        <v>148</v>
      </c>
      <c r="B118" s="198" t="s">
        <v>197</v>
      </c>
      <c r="C118" s="37" t="s">
        <v>198</v>
      </c>
      <c r="D118" s="103">
        <v>267</v>
      </c>
      <c r="E118" s="122">
        <v>3447372</v>
      </c>
      <c r="F118" s="122">
        <v>3447372</v>
      </c>
      <c r="G118" s="246" t="s">
        <v>457</v>
      </c>
      <c r="H118" s="199">
        <v>0</v>
      </c>
      <c r="I118" s="122">
        <v>2446054</v>
      </c>
      <c r="J118" s="122">
        <v>1758445</v>
      </c>
      <c r="K118" s="122">
        <v>687609</v>
      </c>
      <c r="L118" s="122">
        <v>-687609</v>
      </c>
    </row>
    <row r="119" spans="1:12" ht="15" customHeight="1" x14ac:dyDescent="0.2">
      <c r="A119" s="206" t="s">
        <v>395</v>
      </c>
      <c r="B119" s="239" t="s">
        <v>457</v>
      </c>
      <c r="C119" s="239" t="s">
        <v>457</v>
      </c>
      <c r="D119" s="239" t="s">
        <v>457</v>
      </c>
      <c r="E119" s="117">
        <f>SUBTOTAL(109,college199899[Program
Costs])</f>
        <v>3447372</v>
      </c>
      <c r="F119" s="117">
        <f>SUBTOTAL(109,college199899[Less: Net
 Payments and 
Offsets 2])</f>
        <v>3447372</v>
      </c>
      <c r="G119" s="239" t="s">
        <v>457</v>
      </c>
      <c r="H119" s="204">
        <f>SUBTOTAL(109,college199899[Accounts Payable
Balance])</f>
        <v>0</v>
      </c>
      <c r="I119" s="117">
        <f>SUBTOTAL(109,college199899[Established
Accounts Receivable])</f>
        <v>2446054</v>
      </c>
      <c r="J119" s="117">
        <f>SUBTOTAL(109,college199899[Less: 
Recovered 
Amount])</f>
        <v>1758445</v>
      </c>
      <c r="K119" s="117">
        <f>SUBTOTAL(109,college199899[Accounts Receivable
Balance])</f>
        <v>687609</v>
      </c>
      <c r="L119" s="117">
        <f>SUBTOTAL(109,college199899[Net
Balance])</f>
        <v>-687609</v>
      </c>
    </row>
    <row r="120" spans="1:12" x14ac:dyDescent="0.2">
      <c r="A120" s="169" t="s">
        <v>463</v>
      </c>
      <c r="B120" s="240"/>
      <c r="C120" s="119"/>
      <c r="D120" s="103"/>
      <c r="E120" s="241"/>
      <c r="F120" s="241"/>
      <c r="G120" s="242"/>
      <c r="H120" s="241"/>
      <c r="I120" s="241"/>
      <c r="J120" s="243"/>
      <c r="K120" s="241"/>
      <c r="L120" s="211"/>
    </row>
    <row r="121" spans="1:12" ht="48" x14ac:dyDescent="0.2">
      <c r="A121" s="40" t="s">
        <v>1</v>
      </c>
      <c r="B121" s="40" t="s">
        <v>15</v>
      </c>
      <c r="C121" s="40" t="s">
        <v>16</v>
      </c>
      <c r="D121" s="40" t="s">
        <v>454</v>
      </c>
      <c r="E121" s="230" t="s">
        <v>3</v>
      </c>
      <c r="F121" s="40" t="s">
        <v>592</v>
      </c>
      <c r="G121" s="245" t="s">
        <v>462</v>
      </c>
      <c r="H121" s="230" t="s">
        <v>461</v>
      </c>
      <c r="I121" s="197" t="s">
        <v>460</v>
      </c>
      <c r="J121" s="230" t="s">
        <v>459</v>
      </c>
      <c r="K121" s="230" t="s">
        <v>458</v>
      </c>
      <c r="L121" s="230" t="s">
        <v>17</v>
      </c>
    </row>
    <row r="122" spans="1:12" ht="15" customHeight="1" x14ac:dyDescent="0.2">
      <c r="A122" s="130" t="s">
        <v>67</v>
      </c>
      <c r="B122" s="247" t="s">
        <v>457</v>
      </c>
      <c r="C122" s="247" t="s">
        <v>457</v>
      </c>
      <c r="D122" s="247" t="s">
        <v>457</v>
      </c>
      <c r="E122" s="73">
        <v>375864</v>
      </c>
      <c r="F122" s="73">
        <v>129607</v>
      </c>
      <c r="G122" s="247" t="s">
        <v>457</v>
      </c>
      <c r="H122" s="73">
        <v>246257</v>
      </c>
      <c r="I122" s="73">
        <v>1000</v>
      </c>
      <c r="J122" s="126">
        <v>0</v>
      </c>
      <c r="K122" s="73">
        <v>1000</v>
      </c>
      <c r="L122" s="73">
        <v>245257</v>
      </c>
    </row>
    <row r="123" spans="1:12" ht="15" customHeight="1" x14ac:dyDescent="0.2">
      <c r="A123" s="130" t="s">
        <v>68</v>
      </c>
      <c r="B123" s="247" t="s">
        <v>457</v>
      </c>
      <c r="C123" s="247" t="s">
        <v>457</v>
      </c>
      <c r="D123" s="247" t="s">
        <v>457</v>
      </c>
      <c r="E123" s="73">
        <v>879477</v>
      </c>
      <c r="F123" s="73">
        <v>680345</v>
      </c>
      <c r="G123" s="247" t="s">
        <v>457</v>
      </c>
      <c r="H123" s="73">
        <v>199132</v>
      </c>
      <c r="I123" s="73">
        <v>1000</v>
      </c>
      <c r="J123" s="126">
        <v>0</v>
      </c>
      <c r="K123" s="73">
        <v>1000</v>
      </c>
      <c r="L123" s="73">
        <v>198132</v>
      </c>
    </row>
    <row r="124" spans="1:12" ht="15" customHeight="1" x14ac:dyDescent="0.2">
      <c r="A124" s="130" t="s">
        <v>69</v>
      </c>
      <c r="B124" s="247" t="s">
        <v>457</v>
      </c>
      <c r="C124" s="247" t="s">
        <v>457</v>
      </c>
      <c r="D124" s="247" t="s">
        <v>457</v>
      </c>
      <c r="E124" s="73">
        <v>922641</v>
      </c>
      <c r="F124" s="73">
        <v>525344</v>
      </c>
      <c r="G124" s="247" t="s">
        <v>457</v>
      </c>
      <c r="H124" s="73">
        <v>397297</v>
      </c>
      <c r="I124" s="73">
        <v>1000</v>
      </c>
      <c r="J124" s="126">
        <v>0</v>
      </c>
      <c r="K124" s="73">
        <v>1000</v>
      </c>
      <c r="L124" s="73">
        <v>396297</v>
      </c>
    </row>
    <row r="125" spans="1:12" ht="15" customHeight="1" x14ac:dyDescent="0.2">
      <c r="A125" s="130" t="s">
        <v>70</v>
      </c>
      <c r="B125" s="247" t="s">
        <v>457</v>
      </c>
      <c r="C125" s="247" t="s">
        <v>457</v>
      </c>
      <c r="D125" s="247" t="s">
        <v>457</v>
      </c>
      <c r="E125" s="73">
        <v>20332634</v>
      </c>
      <c r="F125" s="73">
        <v>17286258</v>
      </c>
      <c r="G125" s="247" t="s">
        <v>457</v>
      </c>
      <c r="H125" s="73">
        <v>3046376</v>
      </c>
      <c r="I125" s="126">
        <v>0</v>
      </c>
      <c r="J125" s="126">
        <v>0</v>
      </c>
      <c r="K125" s="126">
        <v>0</v>
      </c>
      <c r="L125" s="73">
        <v>3046376</v>
      </c>
    </row>
    <row r="126" spans="1:12" ht="15" customHeight="1" x14ac:dyDescent="0.2">
      <c r="A126" s="130" t="s">
        <v>73</v>
      </c>
      <c r="B126" s="247" t="s">
        <v>457</v>
      </c>
      <c r="C126" s="247" t="s">
        <v>457</v>
      </c>
      <c r="D126" s="247" t="s">
        <v>457</v>
      </c>
      <c r="E126" s="73">
        <v>16904655</v>
      </c>
      <c r="F126" s="73">
        <v>15416949</v>
      </c>
      <c r="G126" s="247" t="s">
        <v>457</v>
      </c>
      <c r="H126" s="73">
        <v>1487706</v>
      </c>
      <c r="I126" s="126">
        <v>0</v>
      </c>
      <c r="J126" s="126">
        <v>0</v>
      </c>
      <c r="K126" s="126">
        <v>0</v>
      </c>
      <c r="L126" s="73">
        <v>1487706</v>
      </c>
    </row>
    <row r="127" spans="1:12" ht="15" customHeight="1" x14ac:dyDescent="0.2">
      <c r="A127" s="130" t="s">
        <v>13</v>
      </c>
      <c r="B127" s="247" t="s">
        <v>457</v>
      </c>
      <c r="C127" s="247" t="s">
        <v>457</v>
      </c>
      <c r="D127" s="247" t="s">
        <v>457</v>
      </c>
      <c r="E127" s="73">
        <v>22815459</v>
      </c>
      <c r="F127" s="73">
        <v>21623246</v>
      </c>
      <c r="G127" s="247" t="s">
        <v>457</v>
      </c>
      <c r="H127" s="73">
        <v>1192213</v>
      </c>
      <c r="I127" s="73">
        <v>3222713</v>
      </c>
      <c r="J127" s="73">
        <v>258603</v>
      </c>
      <c r="K127" s="73">
        <v>2964110</v>
      </c>
      <c r="L127" s="73">
        <v>-1771897</v>
      </c>
    </row>
    <row r="128" spans="1:12" ht="15" customHeight="1" x14ac:dyDescent="0.2">
      <c r="A128" s="130" t="s">
        <v>120</v>
      </c>
      <c r="B128" s="247" t="s">
        <v>457</v>
      </c>
      <c r="C128" s="247" t="s">
        <v>457</v>
      </c>
      <c r="D128" s="247" t="s">
        <v>457</v>
      </c>
      <c r="E128" s="73">
        <v>24685257</v>
      </c>
      <c r="F128" s="73">
        <v>23274397</v>
      </c>
      <c r="G128" s="247" t="s">
        <v>457</v>
      </c>
      <c r="H128" s="73">
        <v>1410860</v>
      </c>
      <c r="I128" s="73">
        <v>5366794</v>
      </c>
      <c r="J128" s="73">
        <v>384373</v>
      </c>
      <c r="K128" s="73">
        <v>4982421</v>
      </c>
      <c r="L128" s="73">
        <v>-3571561</v>
      </c>
    </row>
    <row r="129" spans="1:12" ht="15" customHeight="1" x14ac:dyDescent="0.2">
      <c r="A129" s="130" t="s">
        <v>131</v>
      </c>
      <c r="B129" s="247" t="s">
        <v>457</v>
      </c>
      <c r="C129" s="247" t="s">
        <v>457</v>
      </c>
      <c r="D129" s="247" t="s">
        <v>457</v>
      </c>
      <c r="E129" s="73">
        <v>22694213</v>
      </c>
      <c r="F129" s="73">
        <v>20973335</v>
      </c>
      <c r="G129" s="247" t="s">
        <v>457</v>
      </c>
      <c r="H129" s="73">
        <v>1720878</v>
      </c>
      <c r="I129" s="73">
        <v>2671310</v>
      </c>
      <c r="J129" s="73">
        <v>1014132</v>
      </c>
      <c r="K129" s="73">
        <v>1657178</v>
      </c>
      <c r="L129" s="73">
        <v>63700</v>
      </c>
    </row>
    <row r="130" spans="1:12" ht="15" customHeight="1" x14ac:dyDescent="0.2">
      <c r="A130" s="130" t="s">
        <v>136</v>
      </c>
      <c r="B130" s="247" t="s">
        <v>457</v>
      </c>
      <c r="C130" s="247" t="s">
        <v>457</v>
      </c>
      <c r="D130" s="247" t="s">
        <v>457</v>
      </c>
      <c r="E130" s="73">
        <v>12389117</v>
      </c>
      <c r="F130" s="73">
        <v>11493132</v>
      </c>
      <c r="G130" s="247" t="s">
        <v>457</v>
      </c>
      <c r="H130" s="73">
        <v>895985</v>
      </c>
      <c r="I130" s="73">
        <v>3922061</v>
      </c>
      <c r="J130" s="73">
        <v>2854394</v>
      </c>
      <c r="K130" s="73">
        <v>1067667</v>
      </c>
      <c r="L130" s="73">
        <v>-171682</v>
      </c>
    </row>
    <row r="131" spans="1:12" ht="15" customHeight="1" x14ac:dyDescent="0.2">
      <c r="A131" s="130" t="s">
        <v>137</v>
      </c>
      <c r="B131" s="247" t="s">
        <v>457</v>
      </c>
      <c r="C131" s="247" t="s">
        <v>457</v>
      </c>
      <c r="D131" s="247" t="s">
        <v>457</v>
      </c>
      <c r="E131" s="73">
        <v>5107529</v>
      </c>
      <c r="F131" s="73">
        <v>5020822</v>
      </c>
      <c r="G131" s="247" t="s">
        <v>457</v>
      </c>
      <c r="H131" s="73">
        <v>86707</v>
      </c>
      <c r="I131" s="73">
        <v>306235</v>
      </c>
      <c r="J131" s="73">
        <v>251347</v>
      </c>
      <c r="K131" s="73">
        <v>54888</v>
      </c>
      <c r="L131" s="73">
        <v>31819</v>
      </c>
    </row>
    <row r="132" spans="1:12" ht="15" customHeight="1" x14ac:dyDescent="0.2">
      <c r="A132" s="130" t="s">
        <v>139</v>
      </c>
      <c r="B132" s="247" t="s">
        <v>457</v>
      </c>
      <c r="C132" s="247" t="s">
        <v>457</v>
      </c>
      <c r="D132" s="247" t="s">
        <v>457</v>
      </c>
      <c r="E132" s="73">
        <v>948601</v>
      </c>
      <c r="F132" s="73">
        <v>935719</v>
      </c>
      <c r="G132" s="247" t="s">
        <v>457</v>
      </c>
      <c r="H132" s="73">
        <v>12882</v>
      </c>
      <c r="I132" s="73">
        <v>408288</v>
      </c>
      <c r="J132" s="73">
        <v>408288</v>
      </c>
      <c r="K132" s="126">
        <v>0</v>
      </c>
      <c r="L132" s="73">
        <v>12882</v>
      </c>
    </row>
    <row r="133" spans="1:12" ht="15" customHeight="1" x14ac:dyDescent="0.2">
      <c r="A133" s="130" t="s">
        <v>140</v>
      </c>
      <c r="B133" s="247" t="s">
        <v>457</v>
      </c>
      <c r="C133" s="247" t="s">
        <v>457</v>
      </c>
      <c r="D133" s="247" t="s">
        <v>457</v>
      </c>
      <c r="E133" s="73">
        <v>14911623</v>
      </c>
      <c r="F133" s="73">
        <v>14901325</v>
      </c>
      <c r="G133" s="247" t="s">
        <v>457</v>
      </c>
      <c r="H133" s="73">
        <v>10298</v>
      </c>
      <c r="I133" s="73">
        <v>4316213</v>
      </c>
      <c r="J133" s="73">
        <v>3277337</v>
      </c>
      <c r="K133" s="73">
        <v>1038876</v>
      </c>
      <c r="L133" s="73">
        <v>-1028578</v>
      </c>
    </row>
    <row r="134" spans="1:12" ht="15" customHeight="1" x14ac:dyDescent="0.2">
      <c r="A134" s="130" t="s">
        <v>141</v>
      </c>
      <c r="B134" s="247" t="s">
        <v>457</v>
      </c>
      <c r="C134" s="247" t="s">
        <v>457</v>
      </c>
      <c r="D134" s="247" t="s">
        <v>457</v>
      </c>
      <c r="E134" s="73">
        <v>15566165</v>
      </c>
      <c r="F134" s="73">
        <v>15562960</v>
      </c>
      <c r="G134" s="247" t="s">
        <v>457</v>
      </c>
      <c r="H134" s="73">
        <v>3205</v>
      </c>
      <c r="I134" s="73">
        <v>2237641</v>
      </c>
      <c r="J134" s="73">
        <v>1911976</v>
      </c>
      <c r="K134" s="73">
        <v>325665</v>
      </c>
      <c r="L134" s="73">
        <v>-322460</v>
      </c>
    </row>
    <row r="135" spans="1:12" ht="15" customHeight="1" x14ac:dyDescent="0.2">
      <c r="A135" s="130" t="s">
        <v>144</v>
      </c>
      <c r="B135" s="247" t="s">
        <v>457</v>
      </c>
      <c r="C135" s="247" t="s">
        <v>457</v>
      </c>
      <c r="D135" s="247" t="s">
        <v>457</v>
      </c>
      <c r="E135" s="73">
        <v>614433</v>
      </c>
      <c r="F135" s="73">
        <v>614433</v>
      </c>
      <c r="G135" s="247" t="s">
        <v>457</v>
      </c>
      <c r="H135" s="126">
        <v>0</v>
      </c>
      <c r="I135" s="73">
        <v>11162</v>
      </c>
      <c r="J135" s="73">
        <v>9987</v>
      </c>
      <c r="K135" s="73">
        <v>1175</v>
      </c>
      <c r="L135" s="73">
        <v>-1175</v>
      </c>
    </row>
    <row r="136" spans="1:12" ht="15" customHeight="1" x14ac:dyDescent="0.2">
      <c r="A136" s="130" t="s">
        <v>145</v>
      </c>
      <c r="B136" s="247" t="s">
        <v>457</v>
      </c>
      <c r="C136" s="247" t="s">
        <v>457</v>
      </c>
      <c r="D136" s="247" t="s">
        <v>457</v>
      </c>
      <c r="E136" s="73">
        <v>28469</v>
      </c>
      <c r="F136" s="73">
        <v>28469</v>
      </c>
      <c r="G136" s="247" t="s">
        <v>457</v>
      </c>
      <c r="H136" s="126">
        <v>0</v>
      </c>
      <c r="I136" s="73">
        <v>17658</v>
      </c>
      <c r="J136" s="73">
        <v>8829</v>
      </c>
      <c r="K136" s="73">
        <v>8829</v>
      </c>
      <c r="L136" s="73">
        <v>-8829</v>
      </c>
    </row>
    <row r="137" spans="1:12" ht="15" customHeight="1" x14ac:dyDescent="0.2">
      <c r="A137" s="130" t="s">
        <v>148</v>
      </c>
      <c r="B137" s="247" t="s">
        <v>457</v>
      </c>
      <c r="C137" s="247" t="s">
        <v>457</v>
      </c>
      <c r="D137" s="247" t="s">
        <v>457</v>
      </c>
      <c r="E137" s="73">
        <v>3447372</v>
      </c>
      <c r="F137" s="73">
        <v>3447372</v>
      </c>
      <c r="G137" s="247" t="s">
        <v>457</v>
      </c>
      <c r="H137" s="126">
        <v>0</v>
      </c>
      <c r="I137" s="73">
        <v>2446054</v>
      </c>
      <c r="J137" s="73">
        <v>1758445</v>
      </c>
      <c r="K137" s="73">
        <v>687609</v>
      </c>
      <c r="L137" s="73">
        <v>-687609</v>
      </c>
    </row>
    <row r="138" spans="1:12" ht="15" customHeight="1" x14ac:dyDescent="0.2">
      <c r="A138" s="234" t="s">
        <v>423</v>
      </c>
      <c r="B138" s="239" t="s">
        <v>457</v>
      </c>
      <c r="C138" s="239" t="s">
        <v>457</v>
      </c>
      <c r="D138" s="239" t="s">
        <v>457</v>
      </c>
      <c r="E138" s="117">
        <f>SUBTOTAL(109,collegegrandtotal[Program
Costs])</f>
        <v>162623509</v>
      </c>
      <c r="F138" s="117">
        <f>SUBTOTAL(109,collegegrandtotal[Less: Net
 Payments and 
Offsets 2])</f>
        <v>151913713</v>
      </c>
      <c r="G138" s="239" t="s">
        <v>457</v>
      </c>
      <c r="H138" s="117">
        <f>SUBTOTAL(109,collegegrandtotal[Accounts Payable
Balance])</f>
        <v>10709796</v>
      </c>
      <c r="I138" s="117">
        <f>SUBTOTAL(109,collegegrandtotal[Established
Accounts Receivable])</f>
        <v>24929129</v>
      </c>
      <c r="J138" s="117">
        <f>SUBTOTAL(109,collegegrandtotal[Less: 
Recovered 
Amount])</f>
        <v>12137711</v>
      </c>
      <c r="K138" s="117">
        <f>SUBTOTAL(109,collegegrandtotal[Accounts Receivable
Balance])</f>
        <v>12791418</v>
      </c>
      <c r="L138" s="117">
        <f>SUBTOTAL(109,collegegrandtotal[Net
Balance])</f>
        <v>-2081622</v>
      </c>
    </row>
    <row r="139" spans="1:12" x14ac:dyDescent="0.2">
      <c r="A139" s="169" t="s">
        <v>463</v>
      </c>
      <c r="B139" s="248"/>
      <c r="C139" s="165"/>
      <c r="D139" s="249"/>
      <c r="E139" s="250"/>
      <c r="F139" s="250"/>
      <c r="G139" s="251"/>
      <c r="H139" s="252"/>
      <c r="I139" s="250"/>
      <c r="J139" s="250"/>
      <c r="K139" s="250"/>
      <c r="L139" s="250"/>
    </row>
    <row r="140" spans="1:12" ht="48" x14ac:dyDescent="0.2">
      <c r="A140" s="40" t="s">
        <v>1</v>
      </c>
      <c r="B140" s="40" t="s">
        <v>15</v>
      </c>
      <c r="C140" s="40" t="s">
        <v>16</v>
      </c>
      <c r="D140" s="40" t="s">
        <v>454</v>
      </c>
      <c r="E140" s="230" t="s">
        <v>3</v>
      </c>
      <c r="F140" s="40" t="s">
        <v>592</v>
      </c>
      <c r="G140" s="237" t="s">
        <v>462</v>
      </c>
      <c r="H140" s="230" t="s">
        <v>461</v>
      </c>
      <c r="I140" s="197" t="s">
        <v>460</v>
      </c>
      <c r="J140" s="230" t="s">
        <v>459</v>
      </c>
      <c r="K140" s="230" t="s">
        <v>458</v>
      </c>
      <c r="L140" s="230" t="s">
        <v>17</v>
      </c>
    </row>
    <row r="141" spans="1:12" ht="15" customHeight="1" x14ac:dyDescent="0.2">
      <c r="A141" s="100" t="s">
        <v>6</v>
      </c>
      <c r="B141" s="207" t="s">
        <v>464</v>
      </c>
      <c r="C141" s="207" t="s">
        <v>464</v>
      </c>
      <c r="D141" s="207" t="s">
        <v>464</v>
      </c>
      <c r="E141" s="73">
        <v>810619489</v>
      </c>
      <c r="F141" s="73">
        <v>364729589</v>
      </c>
      <c r="G141" s="207" t="s">
        <v>464</v>
      </c>
      <c r="H141" s="73">
        <v>445889900</v>
      </c>
      <c r="I141" s="73">
        <v>55220578</v>
      </c>
      <c r="J141" s="73">
        <v>48865692</v>
      </c>
      <c r="K141" s="73">
        <v>6354886</v>
      </c>
      <c r="L141" s="73">
        <v>439535014</v>
      </c>
    </row>
    <row r="142" spans="1:12" ht="15" customHeight="1" x14ac:dyDescent="0.2">
      <c r="A142" s="100" t="s">
        <v>9</v>
      </c>
      <c r="B142" s="233" t="s">
        <v>457</v>
      </c>
      <c r="C142" s="233" t="s">
        <v>457</v>
      </c>
      <c r="D142" s="233" t="s">
        <v>457</v>
      </c>
      <c r="E142" s="73">
        <v>6197327151</v>
      </c>
      <c r="F142" s="73">
        <v>5358761091</v>
      </c>
      <c r="G142" s="233" t="s">
        <v>457</v>
      </c>
      <c r="H142" s="73">
        <v>838566060</v>
      </c>
      <c r="I142" s="73">
        <v>195262044</v>
      </c>
      <c r="J142" s="73">
        <v>143556844</v>
      </c>
      <c r="K142" s="73">
        <v>51705200</v>
      </c>
      <c r="L142" s="73">
        <v>786860860</v>
      </c>
    </row>
    <row r="143" spans="1:12" ht="15" customHeight="1" x14ac:dyDescent="0.2">
      <c r="A143" s="100" t="s">
        <v>10</v>
      </c>
      <c r="B143" s="247" t="s">
        <v>457</v>
      </c>
      <c r="C143" s="247" t="s">
        <v>457</v>
      </c>
      <c r="D143" s="247" t="s">
        <v>457</v>
      </c>
      <c r="E143" s="73">
        <v>162623509</v>
      </c>
      <c r="F143" s="73">
        <v>151913713</v>
      </c>
      <c r="G143" s="247" t="s">
        <v>457</v>
      </c>
      <c r="H143" s="73">
        <v>10709796</v>
      </c>
      <c r="I143" s="73">
        <v>24929129</v>
      </c>
      <c r="J143" s="73">
        <v>12137711</v>
      </c>
      <c r="K143" s="73">
        <v>12791418</v>
      </c>
      <c r="L143" s="73">
        <v>-2081622</v>
      </c>
    </row>
    <row r="144" spans="1:12" ht="15" customHeight="1" x14ac:dyDescent="0.2">
      <c r="A144" s="253" t="s">
        <v>424</v>
      </c>
      <c r="B144" s="239" t="s">
        <v>457</v>
      </c>
      <c r="C144" s="239" t="s">
        <v>457</v>
      </c>
      <c r="D144" s="239" t="s">
        <v>457</v>
      </c>
      <c r="E144" s="117">
        <f>SUBTOTAL(109,FundedTotal[Program
Costs])</f>
        <v>7170570149</v>
      </c>
      <c r="F144" s="117">
        <f>SUBTOTAL(109,FundedTotal[Less: Net
 Payments and 
Offsets 2])</f>
        <v>5875404393</v>
      </c>
      <c r="G144" s="239" t="s">
        <v>457</v>
      </c>
      <c r="H144" s="117">
        <f>SUBTOTAL(109,FundedTotal[Accounts Payable
Balance])</f>
        <v>1295165756</v>
      </c>
      <c r="I144" s="117">
        <f>SUBTOTAL(109,FundedTotal[Established
Accounts Receivable])</f>
        <v>275411751</v>
      </c>
      <c r="J144" s="117">
        <f>SUBTOTAL(109,FundedTotal[Less: 
Recovered 
Amount])</f>
        <v>204560247</v>
      </c>
      <c r="K144" s="117">
        <f>SUBTOTAL(109,FundedTotal[Accounts Receivable
Balance])</f>
        <v>70851504</v>
      </c>
      <c r="L144" s="117">
        <f>SUBTOTAL(109,FundedTotal[Net
Balance])</f>
        <v>1224314252</v>
      </c>
    </row>
    <row r="145" spans="1:1" x14ac:dyDescent="0.2">
      <c r="A145" s="209" t="s">
        <v>588</v>
      </c>
    </row>
    <row r="146" spans="1:1" ht="18" x14ac:dyDescent="0.2">
      <c r="A146" s="101" t="s">
        <v>577</v>
      </c>
    </row>
  </sheetData>
  <hyperlinks>
    <hyperlink ref="F2" location="'Schedule B1-Comm College Dist'!A145" display="'Schedule B1-Comm College Dist'!A145"/>
  </hyperlinks>
  <printOptions horizontalCentered="1" gridLines="1"/>
  <pageMargins left="0.3" right="0.3" top="1.1000000000000001" bottom="0.75" header="0.3" footer="0.1"/>
  <pageSetup scale="43" fitToHeight="0" orientation="landscape" r:id="rId1"/>
  <headerFooter>
    <oddFooter>&amp;LSchedule B1: Detail of Funded State-Mandated Programs by Fiscal Year 
Community College Districts&amp;RPage &amp;P of &amp;N</oddFooter>
  </headerFooter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Cover Page</vt:lpstr>
      <vt:lpstr>Table of Contents</vt:lpstr>
      <vt:lpstr>Schedule A-Summary</vt:lpstr>
      <vt:lpstr>Schedule A1-Local Agencies</vt:lpstr>
      <vt:lpstr>Schedule A1-School Districts</vt:lpstr>
      <vt:lpstr>Schedule B-Summary</vt:lpstr>
      <vt:lpstr>Schedule B1-Local Agencies</vt:lpstr>
      <vt:lpstr>Schedule B1-School Districts</vt:lpstr>
      <vt:lpstr>Schedule B1-Comm College Dist</vt:lpstr>
      <vt:lpstr>Schedule B2-Local Agencies</vt:lpstr>
      <vt:lpstr>'Cover Page'!Print_Area</vt:lpstr>
      <vt:lpstr>'Schedule A1-Local Agencies'!Print_Area</vt:lpstr>
      <vt:lpstr>'Schedule A1-School Districts'!Print_Area</vt:lpstr>
      <vt:lpstr>'Schedule B1-Comm College Dist'!Print_Area</vt:lpstr>
      <vt:lpstr>'Schedule B1-Local Agencies'!Print_Area</vt:lpstr>
      <vt:lpstr>'Schedule B1-School Districts'!Print_Area</vt:lpstr>
      <vt:lpstr>'Schedule B2-Local Agencies'!Print_Area</vt:lpstr>
      <vt:lpstr>'Schedule B-Summary'!Print_Area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Waty, Linda</dc:creator>
  <cp:lastModifiedBy>Pangilinan, Kirsten</cp:lastModifiedBy>
  <cp:lastPrinted>2023-04-21T21:26:01Z</cp:lastPrinted>
  <dcterms:created xsi:type="dcterms:W3CDTF">2021-03-11T23:27:39Z</dcterms:created>
  <dcterms:modified xsi:type="dcterms:W3CDTF">2023-04-28T17:35:33Z</dcterms:modified>
</cp:coreProperties>
</file>