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updateLinks="always"/>
  <mc:AlternateContent xmlns:mc="http://schemas.openxmlformats.org/markup-compatibility/2006">
    <mc:Choice Requires="x15">
      <x15ac:absPath xmlns:x15ac="http://schemas.microsoft.com/office/spreadsheetml/2010/11/ac" url="G:\State_Gov_Reporting\ADMIN - POLICY\GASB\GASB 87 - Leases\SCO Website Publications\GASB 87 Annual Reporting\"/>
    </mc:Choice>
  </mc:AlternateContent>
  <xr:revisionPtr revIDLastSave="0" documentId="13_ncr:1_{93A46C88-03BA-4C2B-93EC-02F1FD87D8A1}" xr6:coauthVersionLast="47" xr6:coauthVersionMax="47" xr10:uidLastSave="{00000000-0000-0000-0000-000000000000}"/>
  <bookViews>
    <workbookView xWindow="20370" yWindow="-120" windowWidth="29040" windowHeight="15840" tabRatio="921" firstSheet="2" activeTab="3" xr2:uid="{00000000-000D-0000-FFFF-FFFF00000000}"/>
  </bookViews>
  <sheets>
    <sheet name="Drop Down Menus" sheetId="1" state="hidden" r:id="rId1"/>
    <sheet name="qryIndex02a" sheetId="11" state="hidden" r:id="rId2"/>
    <sheet name="LS-Version Changes" sheetId="13" r:id="rId3"/>
    <sheet name="LS-Fund #### Journal Entries" sheetId="2" r:id="rId4"/>
    <sheet name="LS-Department Note Disclosure" sheetId="3" r:id="rId5"/>
    <sheet name="LS-Lease Liabilities" sheetId="4" r:id="rId6"/>
    <sheet name="LS-Check Figures  " sheetId="7" r:id="rId7"/>
    <sheet name="LR-Version Changes" sheetId="15" r:id="rId8"/>
    <sheet name="LR-Fund #### Journal Entries" sheetId="5" r:id="rId9"/>
    <sheet name="LR-Department Note Disclosure" sheetId="6" r:id="rId10"/>
    <sheet name="LR-Check Figures" sheetId="12" r:id="rId11"/>
    <sheet name="FP-Version Changes" sheetId="14" r:id="rId12"/>
    <sheet name="FP-Fund #### Journal Entries" sheetId="8" r:id="rId13"/>
    <sheet name="FP-Lease Liabilities" sheetId="10" r:id="rId14"/>
    <sheet name="FP-Check Figures" sheetId="17" r:id="rId15"/>
  </sheets>
  <definedNames>
    <definedName name="_xlnm._FilterDatabase" localSheetId="11" hidden="1">'FP-Version Changes'!$A$11:$F$11</definedName>
    <definedName name="_xlnm._FilterDatabase" localSheetId="7" hidden="1">'LR-Version Changes'!$A$10:$F$10</definedName>
    <definedName name="_xlnm._FilterDatabase" localSheetId="2" hidden="1">'LS-Version Changes'!$A$10:$F$10</definedName>
    <definedName name="ActuaryCredentialsGASB">#REF!</definedName>
    <definedName name="ActuaryNameGASB">#REF!</definedName>
    <definedName name="ActuaryTitleGASB">#REF!</definedName>
    <definedName name="AdjCNSDate">#REF!</definedName>
    <definedName name="AdjCNSDate1">#REF!</definedName>
    <definedName name="AdjCNSDateTempEnable">#REF!</definedName>
    <definedName name="AgencyCode" localSheetId="11">#REF!</definedName>
    <definedName name="AgencyCode" localSheetId="10">#REF!</definedName>
    <definedName name="AgencyCode" localSheetId="7">#REF!</definedName>
    <definedName name="AgencyCode">#REF!</definedName>
    <definedName name="AgencyCode1" localSheetId="11">#REF!</definedName>
    <definedName name="AgencyCode1" localSheetId="10">#REF!</definedName>
    <definedName name="AgencyCode1" localSheetId="7">#REF!</definedName>
    <definedName name="AgencyCode1">#REF!</definedName>
    <definedName name="AnalystGASB">#REF!</definedName>
    <definedName name="Annuity" localSheetId="11">#REF!</definedName>
    <definedName name="Annuity" localSheetId="10">#REF!</definedName>
    <definedName name="Annuity" localSheetId="7">#REF!</definedName>
    <definedName name="Annuity">#REF!</definedName>
    <definedName name="Annuity1" localSheetId="11">#REF!</definedName>
    <definedName name="Annuity1" localSheetId="10">#REF!</definedName>
    <definedName name="Annuity1" localSheetId="7">#REF!</definedName>
    <definedName name="Annuity1">#REF!</definedName>
    <definedName name="AnnuityLY" localSheetId="11">#REF!</definedName>
    <definedName name="AnnuityLY" localSheetId="10">#REF!</definedName>
    <definedName name="AnnuityLY" localSheetId="7">#REF!</definedName>
    <definedName name="AnnuityLY">#REF!</definedName>
    <definedName name="ASTABPF">#REF!</definedName>
    <definedName name="ASTABPF1">#REF!</definedName>
    <definedName name="ASTEBPF">#REF!</definedName>
    <definedName name="ClientShortGASB">#REF!</definedName>
    <definedName name="CLPOWERDisc">#REF!</definedName>
    <definedName name="CLPOWERDiscMinus1">#REF!</definedName>
    <definedName name="CLPOWERDiscPlus1">#REF!</definedName>
    <definedName name="CLPOWERExp">#REF!</definedName>
    <definedName name="CNSDateDisc">#REF!</definedName>
    <definedName name="CNSDateDisc1">#REF!</definedName>
    <definedName name="ColaRate">#REF!</definedName>
    <definedName name="ConsultantNameGASB">#REF!</definedName>
    <definedName name="ConsultantTitleGASB">#REF!</definedName>
    <definedName name="Disc1DELTACENSUS">#REF!</definedName>
    <definedName name="Disc1INTNDIV12">#REF!</definedName>
    <definedName name="Disc1SINTADJBOM">#REF!</definedName>
    <definedName name="Disc1SINTNDIV12">#REF!</definedName>
    <definedName name="DiscDELTACENSUS">#REF!</definedName>
    <definedName name="DiscINTADJBOM">#REF!</definedName>
    <definedName name="DiscINTNDIV12">#REF!</definedName>
    <definedName name="DiscMinusOneINTADJBOM">#REF!</definedName>
    <definedName name="DiscMinusOneINTNDIV12">#REF!</definedName>
    <definedName name="DiscPlusOneINTADJBOM">#REF!</definedName>
    <definedName name="DiscPlusOneINTNDIV12">#REF!</definedName>
    <definedName name="EmployerRates" localSheetId="11">#REF!</definedName>
    <definedName name="EmployerRates" localSheetId="10">#REF!</definedName>
    <definedName name="EmployerRates" localSheetId="7">#REF!</definedName>
    <definedName name="EmployerRates">#REF!</definedName>
    <definedName name="EmployerRates1" localSheetId="11">#REF!</definedName>
    <definedName name="EmployerRates1" localSheetId="10">#REF!</definedName>
    <definedName name="EmployerRates1" localSheetId="7">#REF!</definedName>
    <definedName name="EmployerRates1">#REF!</definedName>
    <definedName name="EmployerRatesLEO" localSheetId="11">#REF!</definedName>
    <definedName name="EmployerRatesLEO" localSheetId="10">#REF!</definedName>
    <definedName name="EmployerRatesLEO" localSheetId="7">#REF!</definedName>
    <definedName name="EmployerRatesLEO">#REF!</definedName>
    <definedName name="EmployerRatesLEO1" localSheetId="11">#REF!</definedName>
    <definedName name="EmployerRatesLEO1" localSheetId="10">#REF!</definedName>
    <definedName name="EmployerRatesLEO1" localSheetId="7">#REF!</definedName>
    <definedName name="EmployerRatesLEO1">#REF!</definedName>
    <definedName name="ERData">#REF!</definedName>
    <definedName name="ERID">#REF!</definedName>
    <definedName name="ERInfo">#REF!</definedName>
    <definedName name="Exp1INTADJBOM">#REF!</definedName>
    <definedName name="Exp1INTNDIV12">#REF!</definedName>
    <definedName name="FracYearProj">#REF!</definedName>
    <definedName name="FundOfficeContactGASB">#REF!</definedName>
    <definedName name="FYrsGASB">#REF!</definedName>
    <definedName name="GainLoss">#REF!</definedName>
    <definedName name="GASBDiscMinusOneINTADJBOM">#REF!</definedName>
    <definedName name="GASBDiscMinusOneINTNDIV12">#REF!</definedName>
    <definedName name="InflRate">#REF!</definedName>
    <definedName name="InflRate1">#REF!</definedName>
    <definedName name="IntDisc">#REF!</definedName>
    <definedName name="IntDisc1">#REF!</definedName>
    <definedName name="IntDisc1S">#REF!</definedName>
    <definedName name="INTDiscMinusOne">#REF!</definedName>
    <definedName name="INTDiscPlusOne">#REF!</definedName>
    <definedName name="IntExp1">#REF!</definedName>
    <definedName name="MeasureDate">#REF!</definedName>
    <definedName name="MeasureDate1">#REF!</definedName>
    <definedName name="MeasureDate2">#REF!</definedName>
    <definedName name="N">"N/A"</definedName>
    <definedName name="NDIV12Disc">#REF!</definedName>
    <definedName name="NDIV12DiscMinus1">#REF!</definedName>
    <definedName name="NDIV12DiscPlus1">#REF!</definedName>
    <definedName name="NDIV12Exp">#REF!</definedName>
    <definedName name="OfficeAddr1GASB">#REF!</definedName>
    <definedName name="OfficeAddr2GASB">#REF!</definedName>
    <definedName name="Offices">#REF!</definedName>
    <definedName name="Pension" localSheetId="11">#REF!</definedName>
    <definedName name="Pension" localSheetId="10">#REF!</definedName>
    <definedName name="Pension" localSheetId="7">#REF!</definedName>
    <definedName name="Pension">#REF!</definedName>
    <definedName name="Pension1" localSheetId="11">#REF!</definedName>
    <definedName name="Pension1" localSheetId="10">#REF!</definedName>
    <definedName name="Pension1" localSheetId="7">#REF!</definedName>
    <definedName name="Pension1">#REF!</definedName>
    <definedName name="PensionLY" localSheetId="11">#REF!</definedName>
    <definedName name="PensionLY" localSheetId="10">#REF!</definedName>
    <definedName name="PensionLY" localSheetId="7">#REF!</definedName>
    <definedName name="PensionLY">#REF!</definedName>
    <definedName name="PlanNameLongGASB">#REF!</definedName>
    <definedName name="PlanNameShortGASB">#REF!</definedName>
    <definedName name="_xlnm.Print_Area" localSheetId="12">'FP-Fund #### Journal Entries'!$A$1:$R$118</definedName>
    <definedName name="_xlnm.Print_Area" localSheetId="13">'FP-Lease Liabilities'!$A$1:$S$23</definedName>
    <definedName name="_xlnm.Print_Area" localSheetId="10">'LR-Check Figures'!$A$1:$Q$59</definedName>
    <definedName name="_xlnm.Print_Area" localSheetId="9">'LR-Department Note Disclosure'!$A$1:$E$99</definedName>
    <definedName name="_xlnm.Print_Area" localSheetId="8">'LR-Fund #### Journal Entries'!$A$1:$R$70</definedName>
    <definedName name="_xlnm.Print_Area" localSheetId="4">'LS-Department Note Disclosure'!$A$1:$F$96</definedName>
    <definedName name="_xlnm.Print_Area" localSheetId="3">'LS-Fund #### Journal Entries'!$A$1:$R$135</definedName>
    <definedName name="_xlnm.Print_Area" localSheetId="5">'LS-Lease Liabilities'!$A$1:$U$24</definedName>
    <definedName name="ProjDisc?">#REF!</definedName>
    <definedName name="ProValResults" localSheetId="11">#REF!</definedName>
    <definedName name="ProValResults" localSheetId="10">#REF!</definedName>
    <definedName name="ProValResults" localSheetId="7">#REF!</definedName>
    <definedName name="ProValResults">#REF!</definedName>
    <definedName name="ProValResults1" localSheetId="11">#REF!</definedName>
    <definedName name="ProValResults1" localSheetId="10">#REF!</definedName>
    <definedName name="ProValResults1" localSheetId="7">#REF!</definedName>
    <definedName name="ProValResults1">#REF!</definedName>
    <definedName name="ReportDate67">#REF!</definedName>
    <definedName name="ReportDate671">#REF!</definedName>
    <definedName name="ReportDate68">#REF!</definedName>
    <definedName name="ReportDate681">#REF!</definedName>
    <definedName name="ReviewerGASB">#REF!</definedName>
    <definedName name="Rnd_0">#REF!</definedName>
    <definedName name="RORRate681">#REF!</definedName>
    <definedName name="SalRate">#REF!</definedName>
    <definedName name="SalRate1">#REF!</definedName>
    <definedName name="SegalOfficeGASB">#REF!</definedName>
    <definedName name="TableData" localSheetId="11">#REF!</definedName>
    <definedName name="TableData" localSheetId="10">#REF!</definedName>
    <definedName name="TableData" localSheetId="7">#REF!</definedName>
    <definedName name="TableData">#REF!</definedName>
    <definedName name="TableData1" localSheetId="11">#REF!</definedName>
    <definedName name="TableData1" localSheetId="10">#REF!</definedName>
    <definedName name="TableData1" localSheetId="7">#REF!</definedName>
    <definedName name="TableData1">#REF!</definedName>
    <definedName name="Type" localSheetId="11">#REF!</definedName>
    <definedName name="Type" localSheetId="10">#REF!</definedName>
    <definedName name="Type" localSheetId="7">#REF!</definedName>
    <definedName name="Type">#REF!</definedName>
    <definedName name="TypeAnnuity" localSheetId="11">#REF!</definedName>
    <definedName name="TypeAnnuity" localSheetId="10">#REF!</definedName>
    <definedName name="TypeAnnuity" localSheetId="7">#REF!</definedName>
    <definedName name="TypeAnnuity">#REF!</definedName>
    <definedName name="TypeAnnuity1" localSheetId="11">#REF!</definedName>
    <definedName name="TypeAnnuity1" localSheetId="10">#REF!</definedName>
    <definedName name="TypeAnnuity1" localSheetId="7">#REF!</definedName>
    <definedName name="TypeAnnuity1">#REF!</definedName>
    <definedName name="TypePension" localSheetId="11">#REF!</definedName>
    <definedName name="TypePension" localSheetId="10">#REF!</definedName>
    <definedName name="TypePension" localSheetId="7">#REF!</definedName>
    <definedName name="TypePension">#REF!</definedName>
    <definedName name="TypePension1" localSheetId="11">#REF!</definedName>
    <definedName name="TypePension1" localSheetId="10">#REF!</definedName>
    <definedName name="TypePension1" localSheetId="7">#REF!</definedName>
    <definedName name="TypePension1">#REF!</definedName>
    <definedName name="UnfundedData" localSheetId="11">#REF!</definedName>
    <definedName name="UnfundedData" localSheetId="10">#REF!</definedName>
    <definedName name="UnfundedData" localSheetId="7">#REF!</definedName>
    <definedName name="UnfundedData">#REF!</definedName>
    <definedName name="UnfundedData1" localSheetId="11">#REF!</definedName>
    <definedName name="UnfundedData1" localSheetId="10">#REF!</definedName>
    <definedName name="UnfundedData1" localSheetId="7">#REF!</definedName>
    <definedName name="UnfundedData1">#REF!</definedName>
    <definedName name="UnfundedLY" localSheetId="11">#REF!</definedName>
    <definedName name="UnfundedLY" localSheetId="10">#REF!</definedName>
    <definedName name="UnfundedLY" localSheetId="7">#REF!</definedName>
    <definedName name="UnfundedLY">#REF!</definedName>
    <definedName name="UnfundedLY1" localSheetId="11">#REF!</definedName>
    <definedName name="UnfundedLY1" localSheetId="10">#REF!</definedName>
    <definedName name="UnfundedLY1" localSheetId="7">#REF!</definedName>
    <definedName name="UnfundedLY1">#REF!</definedName>
    <definedName name="UnfundedLYLEO1" localSheetId="11">#REF!</definedName>
    <definedName name="UnfundedLYLEO1" localSheetId="10">#REF!</definedName>
    <definedName name="UnfundedLYLEO1" localSheetId="7">#REF!</definedName>
    <definedName name="UnfundedLYLEO1">#REF!</definedName>
    <definedName name="UnfunedLYLEO" localSheetId="11">#REF!</definedName>
    <definedName name="UnfunedLYLEO" localSheetId="10">#REF!</definedName>
    <definedName name="UnfunedLYLEO" localSheetId="7">#REF!</definedName>
    <definedName name="UnfunedLYLEO">#REF!</definedName>
    <definedName name="VersionGAS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5" i="2" l="1"/>
  <c r="Z118" i="2"/>
  <c r="Y113" i="2"/>
  <c r="Y100" i="2"/>
  <c r="Z104" i="2"/>
  <c r="Z117" i="2"/>
  <c r="Z116" i="2"/>
  <c r="Z115" i="2"/>
  <c r="Z114" i="2"/>
  <c r="Y112" i="2"/>
  <c r="Y111" i="2"/>
  <c r="Y110" i="2"/>
  <c r="Z103" i="2"/>
  <c r="Z102" i="2"/>
  <c r="Z101" i="2"/>
  <c r="Y99" i="2"/>
  <c r="Y98" i="2"/>
  <c r="Y97" i="2"/>
  <c r="Y96" i="2"/>
  <c r="K105" i="8"/>
  <c r="Z104" i="8"/>
  <c r="Z93" i="8"/>
  <c r="Y100" i="8"/>
  <c r="Y89" i="8"/>
  <c r="J105" i="8"/>
  <c r="W100" i="8"/>
  <c r="B100" i="8"/>
  <c r="K119" i="2" l="1"/>
  <c r="J119" i="2"/>
  <c r="Y119" i="2"/>
  <c r="Z119" i="2"/>
  <c r="Z105" i="2"/>
  <c r="Y105" i="2"/>
  <c r="N57" i="7"/>
  <c r="N49" i="7"/>
  <c r="N42" i="7"/>
  <c r="N57" i="12"/>
  <c r="N49" i="12"/>
  <c r="N42" i="12"/>
  <c r="N33" i="12"/>
  <c r="N24" i="12"/>
  <c r="N16" i="12"/>
  <c r="AC17" i="5"/>
  <c r="AB14" i="5"/>
  <c r="AB15" i="2"/>
  <c r="AB15" i="8"/>
  <c r="P18" i="8"/>
  <c r="P15" i="5"/>
  <c r="AB15" i="5" l="1"/>
  <c r="AC18" i="5"/>
  <c r="P18" i="2"/>
  <c r="AB17" i="2"/>
  <c r="K117" i="8"/>
  <c r="Z31" i="5"/>
  <c r="Z67" i="5" s="1"/>
  <c r="Z69" i="5"/>
  <c r="Z68" i="5"/>
  <c r="Z60" i="5"/>
  <c r="AA60" i="5" s="1"/>
  <c r="Z55" i="5"/>
  <c r="Z43" i="5"/>
  <c r="Z38" i="5"/>
  <c r="AA38" i="5" s="1"/>
  <c r="Z26" i="5"/>
  <c r="K134" i="2"/>
  <c r="L134" i="2" s="1"/>
  <c r="Z58" i="2"/>
  <c r="Z69" i="2"/>
  <c r="Z33" i="5" l="1"/>
  <c r="X101" i="8"/>
  <c r="Z40" i="8"/>
  <c r="Z41" i="8" s="1"/>
  <c r="B42" i="7" l="1"/>
  <c r="N33" i="7"/>
  <c r="N24" i="7"/>
  <c r="N16" i="7"/>
  <c r="E73" i="6" a="1"/>
  <c r="E73" i="6" s="1"/>
  <c r="E42" i="6" a="1"/>
  <c r="E42" i="6" s="1"/>
  <c r="B24" i="12"/>
  <c r="E20" i="6"/>
  <c r="E11" i="6" a="1"/>
  <c r="E11" i="6" s="1"/>
  <c r="Q18" i="5"/>
  <c r="P42" i="7" l="1"/>
  <c r="K18" i="5"/>
  <c r="AC20" i="2" l="1"/>
  <c r="AC22" i="2"/>
  <c r="AC23" i="2"/>
  <c r="AB16" i="2"/>
  <c r="D41" i="3" a="1"/>
  <c r="D41" i="3" s="1"/>
  <c r="D10" i="3" a="1"/>
  <c r="D10" i="3" s="1"/>
  <c r="D99" i="3" l="1"/>
  <c r="D68" i="3"/>
  <c r="Z76" i="2"/>
  <c r="D98" i="3"/>
  <c r="D94" i="3"/>
  <c r="D89" i="3"/>
  <c r="D84" i="3"/>
  <c r="D79" i="3"/>
  <c r="D67" i="3"/>
  <c r="D63" i="3"/>
  <c r="D58" i="3"/>
  <c r="D53" i="3"/>
  <c r="D48" i="3"/>
  <c r="D37" i="3"/>
  <c r="D36" i="3"/>
  <c r="D32" i="3"/>
  <c r="D27" i="3"/>
  <c r="D22" i="3"/>
  <c r="D17" i="3"/>
  <c r="B10" i="3"/>
  <c r="B9" i="3"/>
  <c r="B8" i="3"/>
  <c r="D31" i="3" s="1"/>
  <c r="AA68" i="5"/>
  <c r="B11" i="2" l="1"/>
  <c r="D62" i="3"/>
  <c r="D47" i="3"/>
  <c r="D85" i="3"/>
  <c r="D90" i="3"/>
  <c r="D83" i="3"/>
  <c r="D93" i="3"/>
  <c r="D59" i="3"/>
  <c r="D52" i="3"/>
  <c r="D54" i="3"/>
  <c r="D78" i="3"/>
  <c r="D23" i="3"/>
  <c r="D28" i="3"/>
  <c r="B11" i="6" l="1"/>
  <c r="B10" i="6"/>
  <c r="B9" i="6"/>
  <c r="E85" i="6" s="1"/>
  <c r="E99" i="6"/>
  <c r="E68" i="6"/>
  <c r="E86" i="6"/>
  <c r="E82" i="6"/>
  <c r="E55" i="6"/>
  <c r="E51" i="6"/>
  <c r="E37" i="6"/>
  <c r="E24" i="6"/>
  <c r="P63" i="5"/>
  <c r="B10" i="5" l="1"/>
  <c r="E19" i="6"/>
  <c r="E23" i="6"/>
  <c r="E50" i="6"/>
  <c r="E21" i="6"/>
  <c r="E52" i="6"/>
  <c r="E54" i="6"/>
  <c r="E83" i="6"/>
  <c r="Z68" i="8"/>
  <c r="Z117" i="8" l="1"/>
  <c r="Z69" i="8"/>
  <c r="J70" i="6"/>
  <c r="J39" i="6"/>
  <c r="J8" i="6"/>
  <c r="L99" i="6"/>
  <c r="K99" i="6"/>
  <c r="L98" i="6"/>
  <c r="K98" i="6"/>
  <c r="L97" i="6"/>
  <c r="K97" i="6"/>
  <c r="L96" i="6"/>
  <c r="K96" i="6"/>
  <c r="L95" i="6"/>
  <c r="K95" i="6"/>
  <c r="L94" i="6"/>
  <c r="K94" i="6"/>
  <c r="L93" i="6"/>
  <c r="K93" i="6"/>
  <c r="L92" i="6"/>
  <c r="K92" i="6"/>
  <c r="L91" i="6"/>
  <c r="K91" i="6"/>
  <c r="L90" i="6"/>
  <c r="K90" i="6"/>
  <c r="L89" i="6"/>
  <c r="K89" i="6"/>
  <c r="L88" i="6"/>
  <c r="K88" i="6"/>
  <c r="L87" i="6"/>
  <c r="K87" i="6"/>
  <c r="L86" i="6"/>
  <c r="K86" i="6"/>
  <c r="L85" i="6"/>
  <c r="K85" i="6"/>
  <c r="L84" i="6"/>
  <c r="K84" i="6"/>
  <c r="L83" i="6"/>
  <c r="K83" i="6"/>
  <c r="L82" i="6"/>
  <c r="K82" i="6"/>
  <c r="L81" i="6"/>
  <c r="K81" i="6"/>
  <c r="L80" i="6"/>
  <c r="K80" i="6"/>
  <c r="L79" i="6"/>
  <c r="K79" i="6"/>
  <c r="L78" i="6"/>
  <c r="K78" i="6"/>
  <c r="L77" i="6"/>
  <c r="K77" i="6"/>
  <c r="L76" i="6"/>
  <c r="K76" i="6"/>
  <c r="L75" i="6"/>
  <c r="K75" i="6"/>
  <c r="L68" i="6"/>
  <c r="K68" i="6"/>
  <c r="L67" i="6"/>
  <c r="K67" i="6"/>
  <c r="L66" i="6"/>
  <c r="K66" i="6"/>
  <c r="L65" i="6"/>
  <c r="K65" i="6"/>
  <c r="L64" i="6"/>
  <c r="K64" i="6"/>
  <c r="L63" i="6"/>
  <c r="K63" i="6"/>
  <c r="L62" i="6"/>
  <c r="K62" i="6"/>
  <c r="L61" i="6"/>
  <c r="K61" i="6"/>
  <c r="L60" i="6"/>
  <c r="K60" i="6"/>
  <c r="L59" i="6"/>
  <c r="K59" i="6"/>
  <c r="L58" i="6"/>
  <c r="K58" i="6"/>
  <c r="L57" i="6"/>
  <c r="K57" i="6"/>
  <c r="L56" i="6"/>
  <c r="K56" i="6"/>
  <c r="L55" i="6"/>
  <c r="K55" i="6"/>
  <c r="L54" i="6"/>
  <c r="K54" i="6"/>
  <c r="L53" i="6"/>
  <c r="K53" i="6"/>
  <c r="L52" i="6"/>
  <c r="K52" i="6"/>
  <c r="L51" i="6"/>
  <c r="K51" i="6"/>
  <c r="L50" i="6"/>
  <c r="K50" i="6"/>
  <c r="L49" i="6"/>
  <c r="K49" i="6"/>
  <c r="L48" i="6"/>
  <c r="K48" i="6"/>
  <c r="L47" i="6"/>
  <c r="K47" i="6"/>
  <c r="L46" i="6"/>
  <c r="K46" i="6"/>
  <c r="L45" i="6"/>
  <c r="K45" i="6"/>
  <c r="L44" i="6"/>
  <c r="K44" i="6"/>
  <c r="K37" i="6"/>
  <c r="L37" i="6"/>
  <c r="L14" i="6"/>
  <c r="K14" i="6"/>
  <c r="L13" i="6"/>
  <c r="K13" i="6"/>
  <c r="L36" i="6"/>
  <c r="K36" i="6"/>
  <c r="L35" i="6"/>
  <c r="K35" i="6"/>
  <c r="L34" i="6"/>
  <c r="K34" i="6"/>
  <c r="L33" i="6"/>
  <c r="K33" i="6"/>
  <c r="L32" i="6"/>
  <c r="K32" i="6"/>
  <c r="L31" i="6"/>
  <c r="K31" i="6"/>
  <c r="L30" i="6"/>
  <c r="K30" i="6"/>
  <c r="L29" i="6"/>
  <c r="K29" i="6"/>
  <c r="L28" i="6"/>
  <c r="K28" i="6"/>
  <c r="L27" i="6"/>
  <c r="K27" i="6"/>
  <c r="L26" i="6"/>
  <c r="K26" i="6"/>
  <c r="L25" i="6"/>
  <c r="K25" i="6"/>
  <c r="L24" i="6"/>
  <c r="K24" i="6"/>
  <c r="L23" i="6"/>
  <c r="K23" i="6"/>
  <c r="L22" i="6"/>
  <c r="K22" i="6"/>
  <c r="L21" i="6"/>
  <c r="K21" i="6"/>
  <c r="L20" i="6"/>
  <c r="K20" i="6"/>
  <c r="L19" i="6"/>
  <c r="K19" i="6"/>
  <c r="L18" i="6"/>
  <c r="K18" i="6"/>
  <c r="L17" i="6"/>
  <c r="K17" i="6"/>
  <c r="L16" i="6"/>
  <c r="K16" i="6"/>
  <c r="L15" i="6"/>
  <c r="K15" i="6"/>
  <c r="J69" i="3"/>
  <c r="L97" i="3"/>
  <c r="K97" i="3"/>
  <c r="L96" i="3"/>
  <c r="K96" i="3"/>
  <c r="L95" i="3"/>
  <c r="K95" i="3"/>
  <c r="L94" i="3"/>
  <c r="K94" i="3"/>
  <c r="L93" i="3"/>
  <c r="K93" i="3"/>
  <c r="L92" i="3"/>
  <c r="K92" i="3"/>
  <c r="L91" i="3"/>
  <c r="K91" i="3"/>
  <c r="L90" i="3"/>
  <c r="K90" i="3"/>
  <c r="L89" i="3"/>
  <c r="K89" i="3"/>
  <c r="L88" i="3"/>
  <c r="K88" i="3"/>
  <c r="L87" i="3"/>
  <c r="K87" i="3"/>
  <c r="L86" i="3"/>
  <c r="K86" i="3"/>
  <c r="L85" i="3"/>
  <c r="K85" i="3"/>
  <c r="L84" i="3"/>
  <c r="K84" i="3"/>
  <c r="L83" i="3"/>
  <c r="K83" i="3"/>
  <c r="L82" i="3"/>
  <c r="K82" i="3"/>
  <c r="L81" i="3"/>
  <c r="K81" i="3"/>
  <c r="L80" i="3"/>
  <c r="K80" i="3"/>
  <c r="L79" i="3"/>
  <c r="K79" i="3"/>
  <c r="L78" i="3"/>
  <c r="K78" i="3"/>
  <c r="L77" i="3"/>
  <c r="K77" i="3"/>
  <c r="L76" i="3"/>
  <c r="K76" i="3"/>
  <c r="L75" i="3"/>
  <c r="K75" i="3"/>
  <c r="L74" i="3"/>
  <c r="K74" i="3"/>
  <c r="J38" i="3"/>
  <c r="L43" i="3"/>
  <c r="K43" i="3"/>
  <c r="K44" i="3"/>
  <c r="L44" i="3"/>
  <c r="K45" i="3"/>
  <c r="L45" i="3"/>
  <c r="K46" i="3"/>
  <c r="L46" i="3"/>
  <c r="K47" i="3"/>
  <c r="L47" i="3"/>
  <c r="K48" i="3"/>
  <c r="L48" i="3"/>
  <c r="K49" i="3"/>
  <c r="L49" i="3"/>
  <c r="K50" i="3"/>
  <c r="L50" i="3"/>
  <c r="K51" i="3"/>
  <c r="L51" i="3"/>
  <c r="K52" i="3"/>
  <c r="L52" i="3"/>
  <c r="K53" i="3"/>
  <c r="L53" i="3"/>
  <c r="K54" i="3"/>
  <c r="L54" i="3"/>
  <c r="K55" i="3"/>
  <c r="L55" i="3"/>
  <c r="K56" i="3"/>
  <c r="L56" i="3"/>
  <c r="K57" i="3"/>
  <c r="L57" i="3"/>
  <c r="K58" i="3"/>
  <c r="L58" i="3"/>
  <c r="K59" i="3"/>
  <c r="L59" i="3"/>
  <c r="K60" i="3"/>
  <c r="L60" i="3"/>
  <c r="K61" i="3"/>
  <c r="L61" i="3"/>
  <c r="K62" i="3"/>
  <c r="L62" i="3"/>
  <c r="K63" i="3"/>
  <c r="L63" i="3"/>
  <c r="K64" i="3"/>
  <c r="L64" i="3"/>
  <c r="K65" i="3"/>
  <c r="L65" i="3"/>
  <c r="L66" i="3"/>
  <c r="K66" i="3"/>
  <c r="K14" i="3"/>
  <c r="L14" i="3"/>
  <c r="K15" i="3"/>
  <c r="L15" i="3"/>
  <c r="K16" i="3"/>
  <c r="L16" i="3"/>
  <c r="K17" i="3"/>
  <c r="L17" i="3"/>
  <c r="K18" i="3"/>
  <c r="L18" i="3"/>
  <c r="K19" i="3"/>
  <c r="L19" i="3"/>
  <c r="K20" i="3"/>
  <c r="L20" i="3"/>
  <c r="K21" i="3"/>
  <c r="L21" i="3"/>
  <c r="K22" i="3"/>
  <c r="L22" i="3"/>
  <c r="K23" i="3"/>
  <c r="L23" i="3"/>
  <c r="K24" i="3"/>
  <c r="L24" i="3"/>
  <c r="K25" i="3"/>
  <c r="L25" i="3"/>
  <c r="K26" i="3"/>
  <c r="L26" i="3"/>
  <c r="K27" i="3"/>
  <c r="L27" i="3"/>
  <c r="K28" i="3"/>
  <c r="L28" i="3"/>
  <c r="K29" i="3"/>
  <c r="L29" i="3"/>
  <c r="K30" i="3"/>
  <c r="L30" i="3"/>
  <c r="K31" i="3"/>
  <c r="L31" i="3"/>
  <c r="K32" i="3"/>
  <c r="L32" i="3"/>
  <c r="K33" i="3"/>
  <c r="L33" i="3"/>
  <c r="K34" i="3"/>
  <c r="L34" i="3"/>
  <c r="K35" i="3"/>
  <c r="L35" i="3"/>
  <c r="L13" i="3"/>
  <c r="K13" i="3"/>
  <c r="J7" i="3"/>
  <c r="L12" i="3"/>
  <c r="K12" i="3"/>
  <c r="J81" i="8"/>
  <c r="K81" i="8"/>
  <c r="J94" i="8"/>
  <c r="K94" i="8"/>
  <c r="Y77" i="8"/>
  <c r="Z103" i="8"/>
  <c r="Z102" i="8"/>
  <c r="Z101" i="8"/>
  <c r="Y99" i="8"/>
  <c r="Y98" i="8"/>
  <c r="Y97" i="8"/>
  <c r="Z92" i="8"/>
  <c r="Z91" i="8"/>
  <c r="Z90" i="8"/>
  <c r="Y88" i="8"/>
  <c r="Y87" i="8"/>
  <c r="Y86" i="8"/>
  <c r="L117" i="8"/>
  <c r="Y105" i="8" l="1"/>
  <c r="Z105" i="8"/>
  <c r="Z94" i="8"/>
  <c r="X103" i="8"/>
  <c r="X102" i="8"/>
  <c r="W99" i="8"/>
  <c r="X92" i="8"/>
  <c r="X91" i="8"/>
  <c r="X90" i="8"/>
  <c r="Z80" i="8"/>
  <c r="Z79" i="8"/>
  <c r="Z78" i="8"/>
  <c r="Z42" i="2"/>
  <c r="Z43" i="2" s="1"/>
  <c r="Y76" i="8"/>
  <c r="Y75" i="8"/>
  <c r="Y67" i="8"/>
  <c r="Z63" i="8"/>
  <c r="Z64" i="8" s="1"/>
  <c r="Y62" i="8"/>
  <c r="Y57" i="8"/>
  <c r="Y56" i="8"/>
  <c r="Z58" i="8" s="1"/>
  <c r="Z59" i="8" s="1"/>
  <c r="Z52" i="8"/>
  <c r="Z51" i="8"/>
  <c r="Z32" i="8"/>
  <c r="Y31" i="8"/>
  <c r="Y39" i="8"/>
  <c r="Y38" i="8"/>
  <c r="Y37" i="8"/>
  <c r="AC23" i="8"/>
  <c r="AC22" i="8"/>
  <c r="AC21" i="8"/>
  <c r="Y118" i="8"/>
  <c r="Y117" i="8"/>
  <c r="Y116" i="8"/>
  <c r="Y115" i="8"/>
  <c r="Y114" i="8"/>
  <c r="Y113" i="8"/>
  <c r="Y112" i="8"/>
  <c r="Y111" i="8"/>
  <c r="Z110" i="8"/>
  <c r="W98" i="8"/>
  <c r="W97" i="8"/>
  <c r="W96" i="8"/>
  <c r="V96" i="8"/>
  <c r="X94" i="8"/>
  <c r="W88" i="8"/>
  <c r="W87" i="8"/>
  <c r="Y94" i="8"/>
  <c r="W86" i="8"/>
  <c r="W85" i="8"/>
  <c r="V85" i="8"/>
  <c r="V84" i="8"/>
  <c r="X80" i="8"/>
  <c r="X79" i="8"/>
  <c r="X78" i="8"/>
  <c r="W76" i="8"/>
  <c r="W75" i="8"/>
  <c r="W74" i="8"/>
  <c r="V74" i="8"/>
  <c r="V73" i="8"/>
  <c r="X68" i="8"/>
  <c r="W67" i="8"/>
  <c r="W66" i="8"/>
  <c r="V66" i="8"/>
  <c r="X63" i="8"/>
  <c r="W62" i="8"/>
  <c r="W61" i="8"/>
  <c r="V61" i="8"/>
  <c r="W56" i="8"/>
  <c r="W55" i="8"/>
  <c r="V55" i="8"/>
  <c r="X53" i="8"/>
  <c r="X52" i="8"/>
  <c r="X51" i="8"/>
  <c r="W50" i="8"/>
  <c r="W49" i="8"/>
  <c r="V49" i="8"/>
  <c r="V48" i="8"/>
  <c r="X45" i="8"/>
  <c r="W44" i="8"/>
  <c r="W43" i="8"/>
  <c r="V43" i="8"/>
  <c r="X41" i="8"/>
  <c r="X40" i="8"/>
  <c r="W39" i="8"/>
  <c r="W38" i="8"/>
  <c r="W37" i="8"/>
  <c r="W36" i="8"/>
  <c r="V36" i="8"/>
  <c r="X34" i="8"/>
  <c r="X32" i="8"/>
  <c r="W31" i="8"/>
  <c r="W30" i="8"/>
  <c r="V30" i="8"/>
  <c r="V29" i="8"/>
  <c r="AE20" i="8"/>
  <c r="AF20" i="8"/>
  <c r="AB17" i="8"/>
  <c r="AB16" i="8"/>
  <c r="Q24" i="8"/>
  <c r="Z126" i="2"/>
  <c r="Z66" i="5"/>
  <c r="Y87" i="2"/>
  <c r="Y86" i="2"/>
  <c r="Y85" i="2"/>
  <c r="Z90" i="2"/>
  <c r="Z89" i="2"/>
  <c r="Z88" i="2"/>
  <c r="Z53" i="8" l="1"/>
  <c r="AA94" i="8"/>
  <c r="AB18" i="8"/>
  <c r="AC24" i="8"/>
  <c r="Z81" i="8"/>
  <c r="Z24" i="8"/>
  <c r="Y44" i="8"/>
  <c r="Y46" i="8" s="1"/>
  <c r="Z33" i="8"/>
  <c r="Z34" i="8" s="1"/>
  <c r="J18" i="8"/>
  <c r="AA117" i="8"/>
  <c r="Y50" i="8"/>
  <c r="Y53" i="8" s="1"/>
  <c r="Y81" i="8"/>
  <c r="Y69" i="8"/>
  <c r="AA69" i="8" s="1"/>
  <c r="Y59" i="8"/>
  <c r="AA59" i="8" s="1"/>
  <c r="Y64" i="8"/>
  <c r="AA53" i="8" l="1"/>
  <c r="AA81" i="8"/>
  <c r="Z45" i="8"/>
  <c r="Y18" i="8"/>
  <c r="AF24" i="8"/>
  <c r="AE24" i="8"/>
  <c r="Z46" i="8" l="1"/>
  <c r="AA46" i="8" s="1"/>
  <c r="X20" i="8"/>
  <c r="X25" i="8"/>
  <c r="AB13" i="5"/>
  <c r="Y13" i="5"/>
  <c r="X24" i="8"/>
  <c r="X23" i="8"/>
  <c r="X22" i="8"/>
  <c r="X21" i="8"/>
  <c r="W19" i="8"/>
  <c r="W18" i="8"/>
  <c r="AB14" i="8"/>
  <c r="Y14" i="8"/>
  <c r="AB14" i="2"/>
  <c r="Y14" i="2"/>
  <c r="W17" i="8"/>
  <c r="W16" i="8"/>
  <c r="W15" i="8"/>
  <c r="V14" i="8"/>
  <c r="V13" i="8"/>
  <c r="K68" i="5"/>
  <c r="L68" i="5" s="1"/>
  <c r="Y51" i="5"/>
  <c r="Y55" i="5" s="1"/>
  <c r="Z54" i="5"/>
  <c r="AA55" i="5" s="1"/>
  <c r="Z53" i="5"/>
  <c r="Z52" i="5"/>
  <c r="Y50" i="5"/>
  <c r="Y49" i="5"/>
  <c r="Z42" i="5"/>
  <c r="Y41" i="5"/>
  <c r="Z25" i="5"/>
  <c r="Y24" i="5"/>
  <c r="Y26" i="5" s="1"/>
  <c r="Z59" i="5"/>
  <c r="Y58" i="5"/>
  <c r="Y60" i="5" s="1"/>
  <c r="Z37" i="5"/>
  <c r="Y36" i="5"/>
  <c r="Z32" i="5"/>
  <c r="Y69" i="5"/>
  <c r="Y68" i="5"/>
  <c r="Y67" i="5"/>
  <c r="X59" i="5"/>
  <c r="X60" i="5"/>
  <c r="W58" i="5"/>
  <c r="W57" i="5"/>
  <c r="V57" i="5"/>
  <c r="X54" i="5"/>
  <c r="X53" i="5"/>
  <c r="X52" i="5"/>
  <c r="AA26" i="5" l="1"/>
  <c r="Y15" i="5"/>
  <c r="Y30" i="5"/>
  <c r="W51" i="5"/>
  <c r="W50" i="5"/>
  <c r="W49" i="5"/>
  <c r="W48" i="5"/>
  <c r="V48" i="5"/>
  <c r="V47" i="5"/>
  <c r="Y43" i="5"/>
  <c r="AA43" i="5" s="1"/>
  <c r="X43" i="5"/>
  <c r="X42" i="5"/>
  <c r="W41" i="5"/>
  <c r="W40" i="5"/>
  <c r="V40" i="5"/>
  <c r="Y38" i="5"/>
  <c r="X38" i="5"/>
  <c r="W36" i="5"/>
  <c r="W35" i="5"/>
  <c r="V35" i="5"/>
  <c r="X31" i="5"/>
  <c r="W29" i="5"/>
  <c r="V29" i="5"/>
  <c r="V28" i="5"/>
  <c r="X27" i="5"/>
  <c r="X26" i="5"/>
  <c r="X25" i="5"/>
  <c r="W24" i="5"/>
  <c r="W23" i="5"/>
  <c r="V23" i="5"/>
  <c r="V22" i="5"/>
  <c r="X20" i="5"/>
  <c r="X18" i="5"/>
  <c r="X17" i="5"/>
  <c r="X21" i="5"/>
  <c r="X19" i="5"/>
  <c r="W16" i="5"/>
  <c r="W15" i="5"/>
  <c r="W14" i="5"/>
  <c r="V13" i="5"/>
  <c r="V12" i="5"/>
  <c r="J105" i="2"/>
  <c r="J91" i="2"/>
  <c r="K91" i="2"/>
  <c r="K77" i="2"/>
  <c r="X115" i="2"/>
  <c r="X116" i="2"/>
  <c r="X117" i="2"/>
  <c r="Z18" i="5" l="1"/>
  <c r="Z19" i="5" s="1"/>
  <c r="AF15" i="5" l="1"/>
  <c r="AE15" i="5"/>
  <c r="AF18" i="5"/>
  <c r="AE18" i="5"/>
  <c r="Y75" i="2"/>
  <c r="Y68" i="2"/>
  <c r="Y63" i="2" l="1"/>
  <c r="Y62" i="2"/>
  <c r="Z64" i="2" s="1"/>
  <c r="Y55" i="2" l="1"/>
  <c r="Z34" i="2" l="1"/>
  <c r="Y47" i="2" s="1"/>
  <c r="Z48" i="2" s="1"/>
  <c r="Y33" i="2"/>
  <c r="Z35" i="2" s="1"/>
  <c r="Z49" i="2" l="1"/>
  <c r="Y49" i="2"/>
  <c r="AA49" i="2" l="1"/>
  <c r="Z134" i="2"/>
  <c r="AA134" i="2" s="1"/>
  <c r="Y127" i="2" l="1"/>
  <c r="Y128" i="2"/>
  <c r="Y129" i="2"/>
  <c r="Y130" i="2"/>
  <c r="Y131" i="2"/>
  <c r="Y132" i="2"/>
  <c r="Y133" i="2"/>
  <c r="Y134" i="2"/>
  <c r="X114" i="2"/>
  <c r="Z128" i="2"/>
  <c r="W112" i="2"/>
  <c r="W111" i="2"/>
  <c r="W110" i="2"/>
  <c r="W109" i="2"/>
  <c r="V109" i="2"/>
  <c r="Z130" i="2"/>
  <c r="X102" i="2"/>
  <c r="X103" i="2"/>
  <c r="X101" i="2"/>
  <c r="W98" i="2"/>
  <c r="W99" i="2"/>
  <c r="W97" i="2"/>
  <c r="W96" i="2"/>
  <c r="W95" i="2"/>
  <c r="V95" i="2"/>
  <c r="V94" i="2"/>
  <c r="X90" i="2"/>
  <c r="X89" i="2"/>
  <c r="V83" i="2"/>
  <c r="X88" i="2"/>
  <c r="W87" i="2"/>
  <c r="W86" i="2"/>
  <c r="W85" i="2"/>
  <c r="W84" i="2"/>
  <c r="V84" i="2"/>
  <c r="Y77" i="2"/>
  <c r="Z77" i="2"/>
  <c r="W75" i="2"/>
  <c r="X76" i="2"/>
  <c r="W74" i="2"/>
  <c r="V74" i="2"/>
  <c r="Y70" i="2"/>
  <c r="Z70" i="2"/>
  <c r="X69" i="2"/>
  <c r="W68" i="2"/>
  <c r="W67" i="2"/>
  <c r="V67" i="2"/>
  <c r="Z65" i="2"/>
  <c r="Y65" i="2"/>
  <c r="W62" i="2"/>
  <c r="W61" i="2"/>
  <c r="V61" i="2"/>
  <c r="X58" i="2"/>
  <c r="X57" i="2"/>
  <c r="X56" i="2"/>
  <c r="Z57" i="2"/>
  <c r="Z56" i="2"/>
  <c r="Y59" i="2"/>
  <c r="W55" i="2"/>
  <c r="W39" i="2"/>
  <c r="V53" i="2"/>
  <c r="W54" i="2"/>
  <c r="V54" i="2"/>
  <c r="W47" i="2"/>
  <c r="X48" i="2"/>
  <c r="X42" i="2"/>
  <c r="W41" i="2"/>
  <c r="W40" i="2"/>
  <c r="X34" i="2"/>
  <c r="W33" i="2"/>
  <c r="W46" i="2"/>
  <c r="V46" i="2"/>
  <c r="W38" i="2"/>
  <c r="W32" i="2"/>
  <c r="V38" i="2"/>
  <c r="V31" i="2"/>
  <c r="V32" i="2"/>
  <c r="V14" i="2"/>
  <c r="Y41" i="2"/>
  <c r="Y40" i="2"/>
  <c r="Y39" i="2"/>
  <c r="Q24" i="2"/>
  <c r="AC21" i="2"/>
  <c r="X25" i="2"/>
  <c r="X24" i="2"/>
  <c r="X23" i="2"/>
  <c r="X22" i="2"/>
  <c r="W18" i="2"/>
  <c r="W19" i="2"/>
  <c r="W17" i="2"/>
  <c r="W16" i="2"/>
  <c r="W15" i="2"/>
  <c r="X43" i="2"/>
  <c r="X36" i="2"/>
  <c r="X21" i="2"/>
  <c r="X20" i="2"/>
  <c r="V13" i="2"/>
  <c r="AA119" i="2" l="1"/>
  <c r="Z129" i="2"/>
  <c r="Z127" i="2"/>
  <c r="AA65" i="2"/>
  <c r="AB18" i="2"/>
  <c r="Y18" i="2" s="1"/>
  <c r="AE18" i="2" s="1"/>
  <c r="AC24" i="2"/>
  <c r="Z24" i="2" s="1"/>
  <c r="AE24" i="2" s="1"/>
  <c r="AA77" i="2"/>
  <c r="AA70" i="2"/>
  <c r="Y43" i="2"/>
  <c r="AA43" i="2" s="1"/>
  <c r="Z91" i="2"/>
  <c r="Y91" i="2"/>
  <c r="AA91" i="2" s="1"/>
  <c r="Z59" i="2"/>
  <c r="AA59" i="2" s="1"/>
  <c r="H15" i="17"/>
  <c r="N10" i="10"/>
  <c r="N17" i="17" s="1"/>
  <c r="AA105" i="2" l="1"/>
  <c r="AF24" i="2"/>
  <c r="AF18" i="2"/>
  <c r="D37" i="17"/>
  <c r="Z36" i="2" l="1"/>
  <c r="Y36" i="2"/>
  <c r="N18" i="10"/>
  <c r="N39" i="17" s="1"/>
  <c r="N14" i="10"/>
  <c r="N28" i="17" s="1"/>
  <c r="J18" i="10"/>
  <c r="N38" i="17" s="1"/>
  <c r="H18" i="10"/>
  <c r="N37" i="17" s="1"/>
  <c r="J14" i="10"/>
  <c r="N27" i="17" s="1"/>
  <c r="H14" i="10"/>
  <c r="N26" i="17" s="1"/>
  <c r="AA36" i="2" l="1"/>
  <c r="J10" i="10"/>
  <c r="N16" i="17" s="1"/>
  <c r="H10" i="10"/>
  <c r="N15" i="17" s="1"/>
  <c r="H38" i="17"/>
  <c r="H27" i="17"/>
  <c r="H37" i="17"/>
  <c r="J37" i="17" s="1"/>
  <c r="H26" i="17"/>
  <c r="H16" i="17"/>
  <c r="D39" i="17"/>
  <c r="J39" i="17" s="1"/>
  <c r="D28" i="17"/>
  <c r="J28" i="17" s="1"/>
  <c r="D17" i="17"/>
  <c r="J17" i="17" s="1"/>
  <c r="D38" i="17"/>
  <c r="D27" i="17"/>
  <c r="D26" i="17"/>
  <c r="D16" i="17"/>
  <c r="D15" i="17"/>
  <c r="J15" i="17" s="1"/>
  <c r="C32" i="5"/>
  <c r="X32" i="5" s="1"/>
  <c r="B63" i="2"/>
  <c r="W63" i="2" s="1"/>
  <c r="B57" i="8"/>
  <c r="W57" i="8" s="1"/>
  <c r="L56" i="8"/>
  <c r="L63" i="8"/>
  <c r="J18" i="4"/>
  <c r="N90" i="7" s="1"/>
  <c r="J14" i="4"/>
  <c r="N79" i="7" s="1"/>
  <c r="J10" i="4"/>
  <c r="N68" i="7" s="1"/>
  <c r="H18" i="4"/>
  <c r="N89" i="7" s="1"/>
  <c r="H14" i="4"/>
  <c r="N78" i="7" s="1"/>
  <c r="H10" i="4"/>
  <c r="N67" i="7" s="1"/>
  <c r="N18" i="4"/>
  <c r="N91" i="7" s="1"/>
  <c r="N14" i="4"/>
  <c r="N80" i="7" s="1"/>
  <c r="N10" i="4"/>
  <c r="N69" i="7" s="1"/>
  <c r="F18" i="4"/>
  <c r="N88" i="7" s="1"/>
  <c r="F14" i="4"/>
  <c r="N77" i="7" s="1"/>
  <c r="L69" i="2"/>
  <c r="L62" i="2"/>
  <c r="S20" i="2"/>
  <c r="H16" i="12"/>
  <c r="B57" i="12"/>
  <c r="B49" i="12"/>
  <c r="B42" i="12"/>
  <c r="J33" i="12"/>
  <c r="H33" i="12"/>
  <c r="F33" i="12"/>
  <c r="D33" i="12"/>
  <c r="J24" i="12"/>
  <c r="H24" i="12"/>
  <c r="F24" i="12"/>
  <c r="D24" i="12"/>
  <c r="J16" i="12"/>
  <c r="F16" i="12"/>
  <c r="D16" i="12"/>
  <c r="J27" i="17" l="1"/>
  <c r="J38" i="17"/>
  <c r="P38" i="17" s="1"/>
  <c r="J26" i="17"/>
  <c r="P26" i="17" s="1"/>
  <c r="J16" i="17"/>
  <c r="P16" i="17" s="1"/>
  <c r="L24" i="12"/>
  <c r="AA105" i="8"/>
  <c r="L105" i="8"/>
  <c r="P15" i="17"/>
  <c r="P37" i="17"/>
  <c r="P27" i="17"/>
  <c r="P28" i="17"/>
  <c r="P17" i="17"/>
  <c r="P39" i="17"/>
  <c r="L94" i="8"/>
  <c r="J15" i="8"/>
  <c r="K111" i="8" s="1"/>
  <c r="J16" i="8"/>
  <c r="K112" i="8" s="1"/>
  <c r="Y16" i="8" l="1"/>
  <c r="Z112" i="8" s="1"/>
  <c r="Y15" i="8"/>
  <c r="Z111" i="8" s="1"/>
  <c r="AA111" i="8" s="1"/>
  <c r="L111" i="8"/>
  <c r="K53" i="8"/>
  <c r="J53" i="8"/>
  <c r="L112" i="8" l="1"/>
  <c r="AA112" i="8"/>
  <c r="AE16" i="8"/>
  <c r="AF16" i="8"/>
  <c r="AE15" i="8"/>
  <c r="AF15" i="8"/>
  <c r="K20" i="2"/>
  <c r="K130" i="2" s="1"/>
  <c r="AF18" i="8" l="1"/>
  <c r="AE18" i="8"/>
  <c r="Z20" i="2"/>
  <c r="AF20" i="2" l="1"/>
  <c r="AE20" i="2"/>
  <c r="P49" i="12"/>
  <c r="D51" i="12" s="1"/>
  <c r="P57" i="12"/>
  <c r="P24" i="12"/>
  <c r="D26" i="12" s="1"/>
  <c r="P42" i="12"/>
  <c r="D44" i="12" s="1"/>
  <c r="S19" i="5"/>
  <c r="S17" i="5"/>
  <c r="S16" i="5"/>
  <c r="S14" i="5"/>
  <c r="J18" i="2"/>
  <c r="S25" i="2"/>
  <c r="S24" i="2"/>
  <c r="S23" i="2"/>
  <c r="K23" i="2"/>
  <c r="Z23" i="2" s="1"/>
  <c r="S22" i="2"/>
  <c r="K22" i="2"/>
  <c r="K132" i="2" s="1"/>
  <c r="S21" i="2"/>
  <c r="K21" i="2"/>
  <c r="S19" i="2"/>
  <c r="S17" i="2"/>
  <c r="J17" i="2"/>
  <c r="Y17" i="2" s="1"/>
  <c r="S16" i="2"/>
  <c r="J16" i="2"/>
  <c r="Y16" i="2" s="1"/>
  <c r="AE16" i="2" s="1"/>
  <c r="S15" i="2"/>
  <c r="J15" i="2"/>
  <c r="S22" i="8"/>
  <c r="S25" i="8"/>
  <c r="S19" i="8"/>
  <c r="K24" i="8"/>
  <c r="K127" i="2" l="1"/>
  <c r="L127" i="2" s="1"/>
  <c r="Y15" i="2"/>
  <c r="K131" i="2"/>
  <c r="Z21" i="2"/>
  <c r="AF23" i="2"/>
  <c r="AE23" i="2"/>
  <c r="K128" i="2"/>
  <c r="F10" i="4"/>
  <c r="N66" i="7" s="1"/>
  <c r="Z22" i="2"/>
  <c r="K129" i="2"/>
  <c r="K133" i="2"/>
  <c r="L133" i="2" s="1"/>
  <c r="K24" i="2"/>
  <c r="K17" i="5"/>
  <c r="K69" i="5" s="1"/>
  <c r="L69" i="5" s="1"/>
  <c r="J14" i="5"/>
  <c r="S18" i="8"/>
  <c r="S24" i="8"/>
  <c r="S18" i="2"/>
  <c r="K23" i="8"/>
  <c r="K116" i="8" s="1"/>
  <c r="K22" i="8"/>
  <c r="K21" i="8"/>
  <c r="K114" i="8" s="1"/>
  <c r="J17" i="8"/>
  <c r="K113" i="8" s="1"/>
  <c r="S21" i="8"/>
  <c r="S17" i="8"/>
  <c r="S16" i="8"/>
  <c r="S15" i="8"/>
  <c r="S23" i="8"/>
  <c r="K115" i="8" l="1"/>
  <c r="L115" i="8" s="1"/>
  <c r="L130" i="2"/>
  <c r="Y19" i="2"/>
  <c r="AE19" i="2" s="1"/>
  <c r="Z25" i="2"/>
  <c r="AE25" i="2" s="1"/>
  <c r="L128" i="2"/>
  <c r="L129" i="2"/>
  <c r="L116" i="8"/>
  <c r="D14" i="17"/>
  <c r="J14" i="17" s="1"/>
  <c r="F10" i="10"/>
  <c r="N14" i="17" s="1"/>
  <c r="L114" i="8"/>
  <c r="Y17" i="8"/>
  <c r="Z113" i="8" s="1"/>
  <c r="F14" i="10"/>
  <c r="N25" i="17" s="1"/>
  <c r="D25" i="17"/>
  <c r="J25" i="17" s="1"/>
  <c r="K67" i="5"/>
  <c r="L67" i="5" s="1"/>
  <c r="B16" i="12"/>
  <c r="L16" i="12" s="1"/>
  <c r="P16" i="12" s="1"/>
  <c r="D18" i="12" s="1"/>
  <c r="AF21" i="2"/>
  <c r="AE21" i="2"/>
  <c r="AF15" i="2"/>
  <c r="AE15" i="2"/>
  <c r="AE22" i="2"/>
  <c r="AF22" i="2"/>
  <c r="AF17" i="2"/>
  <c r="AE17" i="2"/>
  <c r="Z132" i="2"/>
  <c r="L132" i="2"/>
  <c r="L131" i="2"/>
  <c r="Z22" i="8"/>
  <c r="Z115" i="8" s="1"/>
  <c r="Z23" i="8"/>
  <c r="Z116" i="8" s="1"/>
  <c r="Z21" i="8"/>
  <c r="K25" i="8"/>
  <c r="J19" i="8"/>
  <c r="Z131" i="2"/>
  <c r="AF16" i="2"/>
  <c r="Y14" i="5"/>
  <c r="Z17" i="5"/>
  <c r="AA69" i="5" s="1"/>
  <c r="Z133" i="2"/>
  <c r="AA133" i="2" s="1"/>
  <c r="K25" i="2"/>
  <c r="K26" i="2" s="1"/>
  <c r="J19" i="2"/>
  <c r="J26" i="2" s="1"/>
  <c r="F18" i="10"/>
  <c r="N36" i="17" s="1"/>
  <c r="D36" i="17"/>
  <c r="J36" i="17" s="1"/>
  <c r="B33" i="12"/>
  <c r="J5" i="10"/>
  <c r="J5" i="4"/>
  <c r="Z114" i="8" l="1"/>
  <c r="Y19" i="8"/>
  <c r="Z26" i="2"/>
  <c r="P14" i="17"/>
  <c r="D19" i="17" s="1"/>
  <c r="P25" i="17"/>
  <c r="L113" i="8"/>
  <c r="Z25" i="8"/>
  <c r="AA67" i="5"/>
  <c r="Y16" i="5"/>
  <c r="Z20" i="5"/>
  <c r="L33" i="12"/>
  <c r="P33" i="12" s="1"/>
  <c r="D35" i="12" s="1"/>
  <c r="Y26" i="2"/>
  <c r="AF25" i="2"/>
  <c r="AA129" i="2"/>
  <c r="AA132" i="2"/>
  <c r="AA127" i="2"/>
  <c r="AA130" i="2"/>
  <c r="AA128" i="2"/>
  <c r="AA131" i="2"/>
  <c r="AA116" i="8"/>
  <c r="AE23" i="8"/>
  <c r="AF23" i="8"/>
  <c r="AA115" i="8"/>
  <c r="AF22" i="8"/>
  <c r="AF17" i="8"/>
  <c r="AE17" i="8"/>
  <c r="AE22" i="8"/>
  <c r="AF21" i="8"/>
  <c r="AE21" i="8"/>
  <c r="AE17" i="5"/>
  <c r="AF17" i="5"/>
  <c r="AF14" i="5"/>
  <c r="AE14" i="5"/>
  <c r="AF19" i="2"/>
  <c r="P36" i="17"/>
  <c r="D41" i="17" s="1"/>
  <c r="J33" i="7"/>
  <c r="H89" i="7" s="1"/>
  <c r="H33" i="7"/>
  <c r="H90" i="7" s="1"/>
  <c r="J24" i="7"/>
  <c r="H78" i="7" s="1"/>
  <c r="H24" i="7"/>
  <c r="H79" i="7" s="1"/>
  <c r="J16" i="7"/>
  <c r="H67" i="7" s="1"/>
  <c r="H16" i="7"/>
  <c r="H68" i="7" s="1"/>
  <c r="AE25" i="8" l="1"/>
  <c r="Z26" i="8"/>
  <c r="AA26" i="2"/>
  <c r="AF25" i="8"/>
  <c r="AE19" i="5"/>
  <c r="AF19" i="5"/>
  <c r="AF26" i="2"/>
  <c r="AE26" i="2"/>
  <c r="AA113" i="8"/>
  <c r="AA114" i="8"/>
  <c r="AE19" i="8"/>
  <c r="Y26" i="8"/>
  <c r="AF19" i="8"/>
  <c r="AE16" i="5"/>
  <c r="AF16" i="5"/>
  <c r="K55" i="5"/>
  <c r="J55" i="5"/>
  <c r="K60" i="5"/>
  <c r="J60" i="5"/>
  <c r="AF26" i="8" l="1"/>
  <c r="AE20" i="5"/>
  <c r="AF20" i="5"/>
  <c r="AF27" i="2"/>
  <c r="AA26" i="8"/>
  <c r="AE26" i="8"/>
  <c r="L55" i="5"/>
  <c r="L60" i="5"/>
  <c r="L119" i="2"/>
  <c r="L105" i="2"/>
  <c r="K69" i="8"/>
  <c r="AA64" i="8" s="1"/>
  <c r="J69" i="8"/>
  <c r="K64" i="8"/>
  <c r="J64" i="8"/>
  <c r="K59" i="8"/>
  <c r="J59" i="8"/>
  <c r="K46" i="8"/>
  <c r="J46" i="8"/>
  <c r="K41" i="8"/>
  <c r="J41" i="8"/>
  <c r="K34" i="8"/>
  <c r="J34" i="8"/>
  <c r="F9" i="8"/>
  <c r="C104" i="8" s="1"/>
  <c r="X104" i="8" s="1"/>
  <c r="AF21" i="5" l="1"/>
  <c r="AF27" i="8"/>
  <c r="Y34" i="8"/>
  <c r="AA34" i="8" s="1"/>
  <c r="Y41" i="8"/>
  <c r="AA41" i="8" s="1"/>
  <c r="C93" i="8"/>
  <c r="X93" i="8" s="1"/>
  <c r="B89" i="8"/>
  <c r="W89" i="8" s="1"/>
  <c r="C33" i="8"/>
  <c r="X33" i="8" s="1"/>
  <c r="B77" i="8"/>
  <c r="W77" i="8" s="1"/>
  <c r="C58" i="8"/>
  <c r="F9" i="2"/>
  <c r="B113" i="2" s="1"/>
  <c r="C118" i="2" l="1"/>
  <c r="X118" i="2" s="1"/>
  <c r="C104" i="2"/>
  <c r="X104" i="2" s="1"/>
  <c r="W113" i="2"/>
  <c r="C64" i="2"/>
  <c r="B100" i="2"/>
  <c r="W100" i="2" s="1"/>
  <c r="C35" i="2"/>
  <c r="X35" i="2" s="1"/>
  <c r="E81" i="6" l="1"/>
  <c r="E75" i="6"/>
  <c r="E44" i="6"/>
  <c r="C37" i="5"/>
  <c r="X37" i="5" s="1"/>
  <c r="B30" i="5"/>
  <c r="W30" i="5" s="1"/>
  <c r="F11" i="4" l="1"/>
  <c r="D74" i="3"/>
  <c r="D43" i="3"/>
  <c r="K70" i="2" l="1"/>
  <c r="J70" i="2"/>
  <c r="J77" i="2"/>
  <c r="K65" i="2"/>
  <c r="J65" i="2"/>
  <c r="K59" i="2"/>
  <c r="J59" i="2"/>
  <c r="K49" i="2"/>
  <c r="J49" i="2"/>
  <c r="K43" i="2"/>
  <c r="J43" i="2"/>
  <c r="K36" i="2"/>
  <c r="J36" i="2"/>
  <c r="N19" i="10"/>
  <c r="J19" i="10"/>
  <c r="H19" i="10"/>
  <c r="F19" i="10"/>
  <c r="L18" i="10"/>
  <c r="P18" i="10" s="1"/>
  <c r="P19" i="10" s="1"/>
  <c r="N15" i="10"/>
  <c r="J15" i="10"/>
  <c r="H15" i="10"/>
  <c r="F15" i="10"/>
  <c r="L14" i="10"/>
  <c r="P14" i="10" s="1"/>
  <c r="P15" i="10" s="1"/>
  <c r="N11" i="10"/>
  <c r="J11" i="10"/>
  <c r="H11" i="10"/>
  <c r="F11" i="10"/>
  <c r="L10" i="10"/>
  <c r="P10" i="10" s="1"/>
  <c r="P11" i="10" s="1"/>
  <c r="J4" i="10"/>
  <c r="K26" i="8"/>
  <c r="J26" i="8"/>
  <c r="L36" i="2" l="1"/>
  <c r="L36" i="17"/>
  <c r="L25" i="17"/>
  <c r="L14" i="17"/>
  <c r="F7" i="10"/>
  <c r="L11" i="10"/>
  <c r="L15" i="10"/>
  <c r="L26" i="8"/>
  <c r="L19" i="10"/>
  <c r="L59" i="8"/>
  <c r="L46" i="8"/>
  <c r="L64" i="8"/>
  <c r="L34" i="8"/>
  <c r="L7" i="10"/>
  <c r="L69" i="8"/>
  <c r="L41" i="8"/>
  <c r="L53" i="8"/>
  <c r="L91" i="2"/>
  <c r="L43" i="2"/>
  <c r="L88" i="7" l="1"/>
  <c r="L77" i="7"/>
  <c r="L66" i="7"/>
  <c r="D33" i="7"/>
  <c r="D89" i="7" s="1"/>
  <c r="D24" i="7"/>
  <c r="D78" i="7" s="1"/>
  <c r="D16" i="7"/>
  <c r="B57" i="7"/>
  <c r="D91" i="7" s="1"/>
  <c r="B49" i="7"/>
  <c r="D80" i="7" s="1"/>
  <c r="F33" i="7"/>
  <c r="D90" i="7" s="1"/>
  <c r="F24" i="7"/>
  <c r="D79" i="7" s="1"/>
  <c r="F16" i="7"/>
  <c r="B33" i="7"/>
  <c r="B24" i="7"/>
  <c r="B16" i="7"/>
  <c r="L24" i="7" l="1"/>
  <c r="J80" i="7"/>
  <c r="P80" i="7" s="1"/>
  <c r="J78" i="7"/>
  <c r="P78" i="7" s="1"/>
  <c r="J89" i="7"/>
  <c r="P89" i="7" s="1"/>
  <c r="J91" i="7"/>
  <c r="P91" i="7" s="1"/>
  <c r="J79" i="7"/>
  <c r="P79" i="7" s="1"/>
  <c r="J90" i="7"/>
  <c r="P90" i="7" s="1"/>
  <c r="L16" i="7"/>
  <c r="D66" i="7"/>
  <c r="L33" i="7"/>
  <c r="D77" i="7"/>
  <c r="D88" i="7"/>
  <c r="D69" i="7"/>
  <c r="D68" i="7"/>
  <c r="D67" i="7"/>
  <c r="J67" i="7" l="1"/>
  <c r="P67" i="7" s="1"/>
  <c r="J68" i="7"/>
  <c r="P68" i="7" s="1"/>
  <c r="J69" i="7"/>
  <c r="P69" i="7" s="1"/>
  <c r="J77" i="7"/>
  <c r="P77" i="7" s="1"/>
  <c r="J88" i="7"/>
  <c r="P88" i="7" s="1"/>
  <c r="J66" i="7"/>
  <c r="P66" i="7" s="1"/>
  <c r="P33" i="7"/>
  <c r="D35" i="7" s="1"/>
  <c r="D44" i="7"/>
  <c r="P24" i="7"/>
  <c r="D26" i="7" s="1"/>
  <c r="P49" i="7"/>
  <c r="D51" i="7" s="1"/>
  <c r="P16" i="7"/>
  <c r="D18" i="7" s="1"/>
  <c r="P57" i="7"/>
  <c r="D59" i="7" s="1"/>
  <c r="D71" i="7" l="1"/>
  <c r="D93" i="7"/>
  <c r="J4" i="4" l="1"/>
  <c r="L7" i="4" s="1"/>
  <c r="L18" i="4"/>
  <c r="P18" i="4" s="1"/>
  <c r="F19" i="4"/>
  <c r="H19" i="4"/>
  <c r="J19" i="4"/>
  <c r="N19" i="4"/>
  <c r="P19" i="4" l="1"/>
  <c r="L19" i="4"/>
  <c r="F7" i="4"/>
  <c r="D33" i="3"/>
  <c r="B72" i="3"/>
  <c r="B71" i="3"/>
  <c r="B70" i="3"/>
  <c r="D95" i="3" s="1"/>
  <c r="A75" i="3" l="1"/>
  <c r="J75" i="3" l="1"/>
  <c r="D97" i="3"/>
  <c r="D72" i="3" s="1" a="1"/>
  <c r="D72" i="3" s="1"/>
  <c r="A76" i="3"/>
  <c r="N56" i="7"/>
  <c r="K43" i="5"/>
  <c r="J43" i="5"/>
  <c r="K38" i="5"/>
  <c r="J38" i="5"/>
  <c r="K33" i="5"/>
  <c r="J33" i="5"/>
  <c r="K26" i="5"/>
  <c r="J26" i="5"/>
  <c r="L14" i="4"/>
  <c r="P14" i="4" s="1"/>
  <c r="L10" i="4"/>
  <c r="P10" i="4" s="1"/>
  <c r="A77" i="3" l="1"/>
  <c r="J76" i="3"/>
  <c r="Y33" i="5"/>
  <c r="AA33" i="5" s="1"/>
  <c r="L43" i="5"/>
  <c r="L38" i="5"/>
  <c r="L33" i="5"/>
  <c r="L26" i="5"/>
  <c r="L77" i="2"/>
  <c r="L65" i="2"/>
  <c r="A78" i="3" l="1"/>
  <c r="J77" i="3"/>
  <c r="E13" i="6"/>
  <c r="A14" i="6"/>
  <c r="B40" i="6"/>
  <c r="B41" i="6"/>
  <c r="B72" i="6" s="1"/>
  <c r="B42" i="6"/>
  <c r="B73" i="6" s="1"/>
  <c r="A79" i="3" l="1"/>
  <c r="J78" i="3"/>
  <c r="A15" i="6"/>
  <c r="J14" i="6"/>
  <c r="N48" i="12"/>
  <c r="N41" i="12"/>
  <c r="N56" i="12"/>
  <c r="A45" i="6"/>
  <c r="B71" i="6"/>
  <c r="A76" i="6" s="1"/>
  <c r="L26" i="2"/>
  <c r="A80" i="3" l="1"/>
  <c r="J79" i="3"/>
  <c r="A77" i="6"/>
  <c r="J76" i="6"/>
  <c r="A46" i="6"/>
  <c r="J45" i="6"/>
  <c r="A16" i="6"/>
  <c r="J15" i="6"/>
  <c r="N15" i="4"/>
  <c r="J15" i="4"/>
  <c r="H15" i="4"/>
  <c r="F15" i="4"/>
  <c r="N11" i="4"/>
  <c r="J11" i="4"/>
  <c r="H11" i="4"/>
  <c r="B41" i="3"/>
  <c r="B40" i="3"/>
  <c r="B39" i="3"/>
  <c r="D64" i="3" s="1"/>
  <c r="A13" i="3"/>
  <c r="J13" i="3" s="1"/>
  <c r="D21" i="3"/>
  <c r="D16" i="3"/>
  <c r="D12" i="3"/>
  <c r="A81" i="3" l="1"/>
  <c r="J80" i="3"/>
  <c r="A17" i="6"/>
  <c r="J16" i="6"/>
  <c r="A47" i="6"/>
  <c r="J46" i="6"/>
  <c r="A78" i="6"/>
  <c r="J77" i="6"/>
  <c r="N41" i="7"/>
  <c r="A14" i="3"/>
  <c r="D35" i="3"/>
  <c r="A44" i="3"/>
  <c r="L15" i="4"/>
  <c r="P15" i="4"/>
  <c r="L11" i="4"/>
  <c r="P11" i="4"/>
  <c r="J44" i="3" l="1"/>
  <c r="D66" i="3"/>
  <c r="A82" i="3"/>
  <c r="J81" i="3"/>
  <c r="A48" i="6"/>
  <c r="J47" i="6"/>
  <c r="A79" i="6"/>
  <c r="J78" i="6"/>
  <c r="A18" i="6"/>
  <c r="J17" i="6"/>
  <c r="A15" i="3"/>
  <c r="J14" i="3"/>
  <c r="N48" i="7"/>
  <c r="A45" i="3"/>
  <c r="L49" i="2"/>
  <c r="L59" i="2"/>
  <c r="L70" i="2"/>
  <c r="S15" i="5"/>
  <c r="S18" i="5"/>
  <c r="J15" i="5"/>
  <c r="A83" i="3" l="1"/>
  <c r="J82" i="3"/>
  <c r="A49" i="6"/>
  <c r="J48" i="6"/>
  <c r="A80" i="6"/>
  <c r="J79" i="6"/>
  <c r="A19" i="6"/>
  <c r="J18" i="6"/>
  <c r="A46" i="3"/>
  <c r="J45" i="3"/>
  <c r="A16" i="3"/>
  <c r="J15" i="3"/>
  <c r="J16" i="5"/>
  <c r="A84" i="3" l="1"/>
  <c r="J83" i="3"/>
  <c r="A20" i="6"/>
  <c r="J19" i="6"/>
  <c r="A81" i="6"/>
  <c r="J80" i="6"/>
  <c r="A50" i="6"/>
  <c r="J49" i="6"/>
  <c r="A17" i="3"/>
  <c r="J16" i="3"/>
  <c r="A47" i="3"/>
  <c r="J46" i="3"/>
  <c r="K19" i="5"/>
  <c r="K20" i="5" s="1"/>
  <c r="A85" i="3" l="1"/>
  <c r="J84" i="3"/>
  <c r="A51" i="6"/>
  <c r="J50" i="6"/>
  <c r="A82" i="6"/>
  <c r="J81" i="6"/>
  <c r="A21" i="6"/>
  <c r="J20" i="6"/>
  <c r="A48" i="3"/>
  <c r="J47" i="3"/>
  <c r="A18" i="3"/>
  <c r="J17" i="3"/>
  <c r="J20" i="5"/>
  <c r="L20" i="5" s="1"/>
  <c r="A86" i="3" l="1"/>
  <c r="J85" i="3"/>
  <c r="A22" i="6"/>
  <c r="J21" i="6"/>
  <c r="A83" i="6"/>
  <c r="J82" i="6"/>
  <c r="A52" i="6"/>
  <c r="J51" i="6"/>
  <c r="A19" i="3"/>
  <c r="J18" i="3"/>
  <c r="A49" i="3"/>
  <c r="J48" i="3"/>
  <c r="A87" i="3" l="1"/>
  <c r="J86" i="3"/>
  <c r="A84" i="6"/>
  <c r="J83" i="6"/>
  <c r="A53" i="6"/>
  <c r="J52" i="6"/>
  <c r="A23" i="6"/>
  <c r="J22" i="6"/>
  <c r="A50" i="3"/>
  <c r="J49" i="3"/>
  <c r="A20" i="3"/>
  <c r="J19" i="3"/>
  <c r="A88" i="3" l="1"/>
  <c r="J87" i="3"/>
  <c r="A54" i="6"/>
  <c r="J53" i="6"/>
  <c r="A24" i="6"/>
  <c r="J23" i="6"/>
  <c r="A85" i="6"/>
  <c r="J84" i="6"/>
  <c r="A21" i="3"/>
  <c r="J20" i="3"/>
  <c r="A51" i="3"/>
  <c r="J50" i="3"/>
  <c r="Y20" i="5"/>
  <c r="AA20" i="5" s="1"/>
  <c r="A89" i="3" l="1"/>
  <c r="J88" i="3"/>
  <c r="A25" i="6"/>
  <c r="J24" i="6"/>
  <c r="A86" i="6"/>
  <c r="J85" i="6"/>
  <c r="A55" i="6"/>
  <c r="J54" i="6"/>
  <c r="A52" i="3"/>
  <c r="J51" i="3"/>
  <c r="A22" i="3"/>
  <c r="J21" i="3"/>
  <c r="A90" i="3" l="1"/>
  <c r="J89" i="3"/>
  <c r="A87" i="6"/>
  <c r="J86" i="6"/>
  <c r="A56" i="6"/>
  <c r="J55" i="6"/>
  <c r="A26" i="6"/>
  <c r="J25" i="6"/>
  <c r="A23" i="3"/>
  <c r="J22" i="3"/>
  <c r="A53" i="3"/>
  <c r="J52" i="3"/>
  <c r="A91" i="3" l="1"/>
  <c r="J90" i="3"/>
  <c r="A57" i="6"/>
  <c r="J56" i="6"/>
  <c r="A27" i="6"/>
  <c r="J26" i="6"/>
  <c r="A88" i="6"/>
  <c r="J87" i="6"/>
  <c r="A54" i="3"/>
  <c r="J53" i="3"/>
  <c r="A24" i="3"/>
  <c r="J23" i="3"/>
  <c r="L81" i="8"/>
  <c r="A92" i="3" l="1"/>
  <c r="J91" i="3"/>
  <c r="A28" i="6"/>
  <c r="J27" i="6"/>
  <c r="A89" i="6"/>
  <c r="J88" i="6"/>
  <c r="A58" i="6"/>
  <c r="J57" i="6"/>
  <c r="A25" i="3"/>
  <c r="J24" i="3"/>
  <c r="A55" i="3"/>
  <c r="J54" i="3"/>
  <c r="A93" i="3" l="1"/>
  <c r="J92" i="3"/>
  <c r="A90" i="6"/>
  <c r="J89" i="6"/>
  <c r="A59" i="6"/>
  <c r="J58" i="6"/>
  <c r="A29" i="6"/>
  <c r="J28" i="6"/>
  <c r="A56" i="3"/>
  <c r="J55" i="3"/>
  <c r="A26" i="3"/>
  <c r="J25" i="3"/>
  <c r="A94" i="3" l="1"/>
  <c r="J93" i="3"/>
  <c r="A60" i="6"/>
  <c r="J59" i="6"/>
  <c r="A30" i="6"/>
  <c r="J29" i="6"/>
  <c r="A91" i="6"/>
  <c r="J90" i="6"/>
  <c r="A27" i="3"/>
  <c r="J26" i="3"/>
  <c r="A57" i="3"/>
  <c r="J56" i="3"/>
  <c r="A95" i="3" l="1"/>
  <c r="J94" i="3"/>
  <c r="A92" i="6"/>
  <c r="J91" i="6"/>
  <c r="A31" i="6"/>
  <c r="J30" i="6"/>
  <c r="A61" i="6"/>
  <c r="J60" i="6"/>
  <c r="A58" i="3"/>
  <c r="J57" i="3"/>
  <c r="A28" i="3"/>
  <c r="J27" i="3"/>
  <c r="A96" i="3" l="1"/>
  <c r="J95" i="3"/>
  <c r="A62" i="6"/>
  <c r="J61" i="6"/>
  <c r="A32" i="6"/>
  <c r="J31" i="6"/>
  <c r="A93" i="6"/>
  <c r="J92" i="6"/>
  <c r="A29" i="3"/>
  <c r="J28" i="3"/>
  <c r="A59" i="3"/>
  <c r="J58" i="3"/>
  <c r="A97" i="3" l="1"/>
  <c r="J96" i="3"/>
  <c r="A33" i="6"/>
  <c r="J32" i="6"/>
  <c r="A94" i="6"/>
  <c r="J93" i="6"/>
  <c r="A63" i="6"/>
  <c r="J62" i="6"/>
  <c r="A60" i="3"/>
  <c r="J59" i="3"/>
  <c r="A30" i="3"/>
  <c r="J29" i="3"/>
  <c r="A98" i="3" l="1"/>
  <c r="J97" i="3"/>
  <c r="A95" i="6"/>
  <c r="J94" i="6"/>
  <c r="A64" i="6"/>
  <c r="J63" i="6"/>
  <c r="A34" i="6"/>
  <c r="J33" i="6"/>
  <c r="A31" i="3"/>
  <c r="J30" i="3"/>
  <c r="A61" i="3"/>
  <c r="J60" i="3"/>
  <c r="A35" i="6" l="1"/>
  <c r="J34" i="6"/>
  <c r="A65" i="6"/>
  <c r="J64" i="6"/>
  <c r="A96" i="6"/>
  <c r="J95" i="6"/>
  <c r="A62" i="3"/>
  <c r="J61" i="3"/>
  <c r="A32" i="3"/>
  <c r="J31" i="3"/>
  <c r="A66" i="6" l="1"/>
  <c r="J65" i="6"/>
  <c r="A97" i="6"/>
  <c r="J96" i="6"/>
  <c r="A36" i="6"/>
  <c r="J36" i="6" s="1"/>
  <c r="J35" i="6"/>
  <c r="A33" i="3"/>
  <c r="J32" i="3"/>
  <c r="A63" i="3"/>
  <c r="J62" i="3"/>
  <c r="A37" i="6" l="1"/>
  <c r="J37" i="6" s="1"/>
  <c r="A98" i="6"/>
  <c r="J97" i="6"/>
  <c r="A67" i="6"/>
  <c r="J66" i="6"/>
  <c r="A64" i="3"/>
  <c r="J63" i="3"/>
  <c r="A34" i="3"/>
  <c r="J33" i="3"/>
  <c r="A99" i="6" l="1"/>
  <c r="J99" i="6" s="1"/>
  <c r="J98" i="6"/>
  <c r="A68" i="6"/>
  <c r="J68" i="6" s="1"/>
  <c r="J67" i="6"/>
  <c r="A35" i="3"/>
  <c r="J34" i="3"/>
  <c r="A65" i="3"/>
  <c r="J64" i="3"/>
  <c r="A66" i="3" l="1"/>
  <c r="J65" i="3"/>
  <c r="A36" i="3"/>
  <c r="J35" i="3"/>
  <c r="A67" i="3" l="1"/>
  <c r="J6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<sst xmlns="http://schemas.openxmlformats.org/spreadsheetml/2006/main" count="8309" uniqueCount="1892">
  <si>
    <t>Manually complete every yellow field in this worksheet—there are no automatically calculated data-entry cells in this worksheet.</t>
  </si>
  <si>
    <t>Fiscal year:</t>
  </si>
  <si>
    <t>Fund Number:</t>
  </si>
  <si>
    <t>Fund Classification:</t>
  </si>
  <si>
    <t>Entry #</t>
  </si>
  <si>
    <t>I. Governmental funds</t>
  </si>
  <si>
    <t>1. Did your leasing arrangements have any variable payments which ARE NOT included in the measurement of the lease liability?</t>
  </si>
  <si>
    <t>Complete the fields below using aggregated and summarized information from all of your department's completed contract template forms.</t>
  </si>
  <si>
    <t>2. Do your leasing arrangements have any residual value guarantees provided by YOU which ARE NOT included in the measurement of the lease liability?</t>
  </si>
  <si>
    <t>The fields in this worksheet should contain the sums of the department's contracts' corresponding information in their note disclosure worksheets.</t>
  </si>
  <si>
    <t>Principal Payments</t>
  </si>
  <si>
    <t>Interest Payments</t>
  </si>
  <si>
    <t>Fiscal Year:</t>
  </si>
  <si>
    <t>Schedule of Changes in Lease Liabilities</t>
  </si>
  <si>
    <t>Additions</t>
  </si>
  <si>
    <t>Deductions</t>
  </si>
  <si>
    <t>Due Within One Year</t>
  </si>
  <si>
    <t>Noncurrent Liabilities</t>
  </si>
  <si>
    <t>Governmental Funds</t>
  </si>
  <si>
    <t>Lease Liability</t>
  </si>
  <si>
    <t>Installment Contracts Payable (Financed Purchase)</t>
  </si>
  <si>
    <t>Total Governmental Funds</t>
  </si>
  <si>
    <t>2021–2022</t>
  </si>
  <si>
    <t>2022–2023</t>
  </si>
  <si>
    <t>2023–2024</t>
  </si>
  <si>
    <t>2024–2025</t>
  </si>
  <si>
    <t>2025–2026</t>
  </si>
  <si>
    <t>2026–2027</t>
  </si>
  <si>
    <t>2027–2028</t>
  </si>
  <si>
    <t>2028–2029</t>
  </si>
  <si>
    <t>2029–2030</t>
  </si>
  <si>
    <t>2030–2031</t>
  </si>
  <si>
    <t>2031–2032</t>
  </si>
  <si>
    <t>2032–2033</t>
  </si>
  <si>
    <t>2033–2034</t>
  </si>
  <si>
    <t>2034–2035</t>
  </si>
  <si>
    <t>2035–2036</t>
  </si>
  <si>
    <t>2036–2037</t>
  </si>
  <si>
    <t>2037–2038</t>
  </si>
  <si>
    <t>2038–2039</t>
  </si>
  <si>
    <t>2039–2040</t>
  </si>
  <si>
    <t>2040–2041</t>
  </si>
  <si>
    <t>2041–2042</t>
  </si>
  <si>
    <t>2042–2043</t>
  </si>
  <si>
    <t>2043–2044</t>
  </si>
  <si>
    <t>2044–2045</t>
  </si>
  <si>
    <t>2045–2046</t>
  </si>
  <si>
    <t>2046–2047</t>
  </si>
  <si>
    <t>2047–2048</t>
  </si>
  <si>
    <t>2048–2049</t>
  </si>
  <si>
    <t>2049–2050</t>
  </si>
  <si>
    <t>2050–2051</t>
  </si>
  <si>
    <t>2051–2052</t>
  </si>
  <si>
    <t>2052–2053</t>
  </si>
  <si>
    <t>2053–2054</t>
  </si>
  <si>
    <t>2054–2055</t>
  </si>
  <si>
    <t>2055–2056</t>
  </si>
  <si>
    <t>2056–2057</t>
  </si>
  <si>
    <t>2057–2058</t>
  </si>
  <si>
    <t>2058–2059</t>
  </si>
  <si>
    <t>2059–2060</t>
  </si>
  <si>
    <t>2060–2061</t>
  </si>
  <si>
    <t>2061–2062</t>
  </si>
  <si>
    <t>2062–2063</t>
  </si>
  <si>
    <t>2063–2064</t>
  </si>
  <si>
    <t>2064–2065</t>
  </si>
  <si>
    <t>2065–2066</t>
  </si>
  <si>
    <t>2066–2067</t>
  </si>
  <si>
    <t>2067–2068</t>
  </si>
  <si>
    <t>2068–2069</t>
  </si>
  <si>
    <t>2069–2070</t>
  </si>
  <si>
    <t>2070–2071</t>
  </si>
  <si>
    <t>2071–2072</t>
  </si>
  <si>
    <t>2072–2073</t>
  </si>
  <si>
    <t>2073–2074</t>
  </si>
  <si>
    <t>2074–2075</t>
  </si>
  <si>
    <t>2075–2076</t>
  </si>
  <si>
    <t>2076–2077</t>
  </si>
  <si>
    <t>2077–2078</t>
  </si>
  <si>
    <t>2078–2079</t>
  </si>
  <si>
    <t>2079–2080</t>
  </si>
  <si>
    <t>2080–2081</t>
  </si>
  <si>
    <t>2081–2082</t>
  </si>
  <si>
    <t>2082–2083</t>
  </si>
  <si>
    <t>2083–2084</t>
  </si>
  <si>
    <t>2084–2085</t>
  </si>
  <si>
    <t>2085–2086</t>
  </si>
  <si>
    <t>2086–2087</t>
  </si>
  <si>
    <t>2087–2088</t>
  </si>
  <si>
    <t>2088–2089</t>
  </si>
  <si>
    <t>2089–2090</t>
  </si>
  <si>
    <t>2090–2091</t>
  </si>
  <si>
    <t>2091–2092</t>
  </si>
  <si>
    <t>2092–2093</t>
  </si>
  <si>
    <t>2093–2094</t>
  </si>
  <si>
    <t>2094–2095</t>
  </si>
  <si>
    <t>2095–2096</t>
  </si>
  <si>
    <t>2096–2097</t>
  </si>
  <si>
    <t>2097–2098</t>
  </si>
  <si>
    <t>2098–2099</t>
  </si>
  <si>
    <t>2099–2100</t>
  </si>
  <si>
    <t>2100–2101</t>
  </si>
  <si>
    <t>2101–2102</t>
  </si>
  <si>
    <t>2102–2103</t>
  </si>
  <si>
    <t>2103–2104</t>
  </si>
  <si>
    <t>2104–2105</t>
  </si>
  <si>
    <t>2105–2106</t>
  </si>
  <si>
    <t>2106–2107</t>
  </si>
  <si>
    <t>2107–2108</t>
  </si>
  <si>
    <t>2108–2109</t>
  </si>
  <si>
    <t>2109–2110</t>
  </si>
  <si>
    <t>2110–2111</t>
  </si>
  <si>
    <t>2111–2112</t>
  </si>
  <si>
    <t>2112–2113</t>
  </si>
  <si>
    <t>2113–2114</t>
  </si>
  <si>
    <t>2114–2115</t>
  </si>
  <si>
    <t>2115–2116</t>
  </si>
  <si>
    <t>2116–2117</t>
  </si>
  <si>
    <t>2117–2118</t>
  </si>
  <si>
    <t>2118–2119</t>
  </si>
  <si>
    <t>2119–2120</t>
  </si>
  <si>
    <t>2120–2121</t>
  </si>
  <si>
    <t>2121–2122</t>
  </si>
  <si>
    <t>Governmental</t>
  </si>
  <si>
    <t>Proprietary</t>
  </si>
  <si>
    <t>FI$Cal</t>
  </si>
  <si>
    <t>Non-FI$Cal</t>
  </si>
  <si>
    <t>Interest Receipts</t>
  </si>
  <si>
    <t>Principal Receipts</t>
  </si>
  <si>
    <t>Reclassify the current portion of the lease receivable from non-current to current.</t>
  </si>
  <si>
    <t>No</t>
  </si>
  <si>
    <t>Yes</t>
  </si>
  <si>
    <t>Record amortization of the leased assets for the year.</t>
  </si>
  <si>
    <t>Reduce financed purchase contracts liability for total current year principal payments.</t>
  </si>
  <si>
    <t>Reclassify the principal amount due in the next FY to the current liability.</t>
  </si>
  <si>
    <t xml:space="preserve">Replace proceeds from leases with right-to-use lease liability. </t>
  </si>
  <si>
    <t xml:space="preserve">Replace proceeds from leases with other noncurrent liabilities. </t>
  </si>
  <si>
    <t>Record depreciation of the financed purchase assets for the year.</t>
  </si>
  <si>
    <t>Reduce lease contracts liability for total current year principal payments.</t>
  </si>
  <si>
    <t>Record financed purchase assets. These amounts should be included in the Report 18.</t>
  </si>
  <si>
    <t>Proprietary - Enterprise Fund</t>
  </si>
  <si>
    <t>Proprietary - Internal Service Fund</t>
  </si>
  <si>
    <t>II. Proprietary - INTERNAL SERVICE FUNDS</t>
  </si>
  <si>
    <t>Proprietary - Internal Service Funds</t>
  </si>
  <si>
    <t>Total Proprietary - Internal Service Funds</t>
  </si>
  <si>
    <t>Proprietary - Enterprise Funds</t>
  </si>
  <si>
    <t>Total Proprietary - Enterprise Funds</t>
  </si>
  <si>
    <t>III. Proprietary - ENTERPRISE FUNDS</t>
  </si>
  <si>
    <t>Check Figures</t>
  </si>
  <si>
    <t>Purpose:</t>
  </si>
  <si>
    <t>Journal Entries</t>
  </si>
  <si>
    <t>Department Note Disclosure</t>
  </si>
  <si>
    <t xml:space="preserve">Entry #0 </t>
  </si>
  <si>
    <t>+</t>
  </si>
  <si>
    <t>-</t>
  </si>
  <si>
    <t>Sum Principal Payments</t>
  </si>
  <si>
    <t>Variance</t>
  </si>
  <si>
    <t>=</t>
  </si>
  <si>
    <t>2. To match the journal entry to the principal amount due in the next fiscal year in Note Disclosure.</t>
  </si>
  <si>
    <t>Entry #6</t>
  </si>
  <si>
    <t>GASB Statement No. 87 Leases</t>
  </si>
  <si>
    <t xml:space="preserve">The purpose of this workbook is to check the figures entered in the journal entries reconcile to the future principal payments disclosed and the changes in the schedule of the lease liabilities. </t>
  </si>
  <si>
    <t>Governmental Fund</t>
  </si>
  <si>
    <t>Entry #7</t>
  </si>
  <si>
    <t>Entry #3</t>
  </si>
  <si>
    <t>1. To reconcile the journal entries of RTU Lease Liability with the principal payments in Note Disclosure.</t>
  </si>
  <si>
    <t xml:space="preserve">3. To reconcile the journal entries of RTU Lease Liability with the schedule of changes in Lease Liabilities. </t>
  </si>
  <si>
    <t>a) Governmental Funds</t>
  </si>
  <si>
    <t>b) Proprietary - Internal Service Funds</t>
  </si>
  <si>
    <t>c) Proprietary - Enterprise Funds</t>
  </si>
  <si>
    <t>Dr: Acct 0479 - ACCUMULATED AMORTIZATION - RIGHT-TO-USE LEASED EQUIPMENT</t>
  </si>
  <si>
    <t>Cr: Acct 0478 - RIGHT-TO-USE LEASED EQUIPMENT - AMORTIZABLE</t>
  </si>
  <si>
    <t>Establish Beginning Balances (existing leases only)</t>
  </si>
  <si>
    <t>Record New Leases (new leases only)</t>
  </si>
  <si>
    <t>Record Annual Activity (all leases)</t>
  </si>
  <si>
    <t>Remove Lease Asset at the End of the Lease Term (only at the end of the lease term)</t>
  </si>
  <si>
    <t>Dr: Acct 0950 - BEGINNING FUND BALANCE</t>
  </si>
  <si>
    <t>Dr: Acct 0952 - BEGINNING FUND ADJUSTMENT/PRIOR PERIOD ADJUSTMENT</t>
  </si>
  <si>
    <t>Dr: Acct 0476 - RIGHT-TO-USE LEASED LAND - AMORTIZABLE</t>
  </si>
  <si>
    <t>Dr: Acct 0478 - RIGHT-TO-USE LEASED EQUIPMENT - AMORTIZABLE</t>
  </si>
  <si>
    <t>Dr: Acct 0477 - RIGHT-TO-USE LEASED BUILDINGS - AMORTIZABLE</t>
  </si>
  <si>
    <t>Cr: Acct 0691 - RIGHT-TO-USE LEASE LIABILITY</t>
  </si>
  <si>
    <t>Cr: Acct 0479 - ACCUMULATED AMORTIZATION - RIGHT-TO-USE LEASED EQUIPMENT</t>
  </si>
  <si>
    <t>Cr: Acct 0950 - BEGINNING FUND BALANCE</t>
  </si>
  <si>
    <t>Cr: Acct 0952 - BEGINNING FUND ADJUSTMENT/PRIOR PERIOD ADJUSTMENT</t>
  </si>
  <si>
    <t>Cr: Acct 0485 - ACCUMULATED AMORTIZATION - RIGHT-TO-USE LEASED LAND</t>
  </si>
  <si>
    <t>Cr: Acct 0486 - ACCUMULATED AMORTIZATION - RIGHT-TO-USE LEASED BUILDINGS</t>
  </si>
  <si>
    <t>Cr: Acct 0458 - ACCUMULATED DEPRECIATION - BUILDINGS AND BUILDING IMPROVEMENTS</t>
  </si>
  <si>
    <t>Cr: Acct 0695 - OTHER NONCURRENT LIABILITIES</t>
  </si>
  <si>
    <t>Land is not depreciable</t>
  </si>
  <si>
    <t>Cr: Acct 0462 - ACCUMULATED DEPRECIATION - EQUIPMENT</t>
  </si>
  <si>
    <t>Dr: Acct 0446 - LAND AND LAND IMPROVEMENTS</t>
  </si>
  <si>
    <t>Dr: Acct 0448 - BUILDINGS AND BUILDING IMPROVEMENTS</t>
  </si>
  <si>
    <t>Dr: Acct 0450 - EQUIPMENT</t>
  </si>
  <si>
    <t>Dr: Acct 0842 - CAPITAL OUTLAY</t>
  </si>
  <si>
    <t>Cr: Acct 0842 - CAPITAL OUTLAY</t>
  </si>
  <si>
    <t xml:space="preserve">Record leased assets. </t>
  </si>
  <si>
    <t>Dr: Acct 0875 - DEPRECIATION/AMORTIZATION</t>
  </si>
  <si>
    <t>Dr: Acct 0848 - DEBT SERVICE - PRINCIPAL LEASES</t>
  </si>
  <si>
    <t>Dr: Acct 0691 - RIGHT-TO-USE LEASE LIABILITY</t>
  </si>
  <si>
    <t>Cr: Acct 0848 - DEBT SERVICE - PRINCIPAL LEASES</t>
  </si>
  <si>
    <t>Dr: Acct 0485 - ACCUMULATED AMORTIZATION - RIGHT-TO-USE LEASED LAND</t>
  </si>
  <si>
    <t>Dr: Acct 0486 - ACCUMULATED AMORTIZATION - RIGHT-TO-USE LEASED BUILDINGS</t>
  </si>
  <si>
    <t>Cr: Acct 0476 - RIGHT-TO-USE LEASED LAND - AMORTIZABLE</t>
  </si>
  <si>
    <t>Cr: Acct 0477 - RIGHT-TO-USE LEASED BUILDINGS - AMORTIZABLE</t>
  </si>
  <si>
    <t>Record entry to write off the lease asset and accumulated amortization at the end of the lease term.</t>
  </si>
  <si>
    <t>Organization Name:</t>
  </si>
  <si>
    <t>Organization Code:</t>
  </si>
  <si>
    <t>Cr: Acct 0649 - RIGHT-TO-USE LEASE LIABILITY (CURRENT PORTION LT)</t>
  </si>
  <si>
    <r>
      <rPr>
        <b/>
        <sz val="12"/>
        <rFont val="Arial"/>
        <family val="2"/>
      </rPr>
      <t>Manually complete</t>
    </r>
    <r>
      <rPr>
        <sz val="12"/>
        <rFont val="Arial"/>
        <family val="2"/>
      </rPr>
      <t xml:space="preserve"> every yellow field in this worksheet—there are no automatically calculated cells in this worksheet.</t>
    </r>
  </si>
  <si>
    <t>Dr: Acct 0417 - LEASES RECEIVABLE - NONCURRENT</t>
  </si>
  <si>
    <t>Cr: Acct 0698 - OTHER DEFERRED INFLOWS OF RESOURCES</t>
  </si>
  <si>
    <t>Cr: Acct 0417 - LEASES RECEIVABLE - NONCURRENT</t>
  </si>
  <si>
    <t>Dr: Acct 0698 - OTHER DEFERRED INFLOWS OF RESOURCES</t>
  </si>
  <si>
    <t>Dr: Acct 0036 - LEASES RECEIVABLE - CURRENT</t>
  </si>
  <si>
    <t>Cr: Acct 0416 - LEASES RECEIVABLE - NONCURRENT</t>
  </si>
  <si>
    <t>1. Did your leasing arrangements have any variable receipts which ARE NOT included in the measurement of the lease receivable? 
These include but are not limited to receipts related to residual value guarantees and termination penalties.</t>
  </si>
  <si>
    <t>Agency</t>
  </si>
  <si>
    <t>Title</t>
  </si>
  <si>
    <t>Hier1</t>
  </si>
  <si>
    <t>Desc1</t>
  </si>
  <si>
    <t>Desc2</t>
  </si>
  <si>
    <t>Hier2</t>
  </si>
  <si>
    <t>Hier3</t>
  </si>
  <si>
    <t>Hier4</t>
  </si>
  <si>
    <t>Hier5</t>
  </si>
  <si>
    <t>EffectiveDate</t>
  </si>
  <si>
    <t>CancelDate</t>
  </si>
  <si>
    <t>0000</t>
  </si>
  <si>
    <t>BOND INTEREST AND REDEMPTION</t>
  </si>
  <si>
    <t>9000</t>
  </si>
  <si>
    <t/>
  </si>
  <si>
    <t>9030</t>
  </si>
  <si>
    <t>9600</t>
  </si>
  <si>
    <t>04/04/1984</t>
  </si>
  <si>
    <t>00/00/0000</t>
  </si>
  <si>
    <t>0010</t>
  </si>
  <si>
    <t>LEGISLATIVE, JUDICIAL AND EXEC</t>
  </si>
  <si>
    <t>0808</t>
  </si>
  <si>
    <t>GENERAL GOVERNMENT</t>
  </si>
  <si>
    <t>07/11/2006</t>
  </si>
  <si>
    <t>0015</t>
  </si>
  <si>
    <t>ADD AGENCY TEST</t>
  </si>
  <si>
    <t>99/99/9999</t>
  </si>
  <si>
    <t>0020</t>
  </si>
  <si>
    <t>LEGISLATIVE</t>
  </si>
  <si>
    <t>0100</t>
  </si>
  <si>
    <t>LEGISLATURE</t>
  </si>
  <si>
    <t>0110</t>
  </si>
  <si>
    <t>SENATE</t>
  </si>
  <si>
    <t>06/26/1985</t>
  </si>
  <si>
    <t>0120</t>
  </si>
  <si>
    <t>ASSEMBLY</t>
  </si>
  <si>
    <t>0130</t>
  </si>
  <si>
    <t>LEGISLATIVE JOINT EXPENSES</t>
  </si>
  <si>
    <t>0150</t>
  </si>
  <si>
    <t>CONTRIB TO LEGIS RETIRE FUND</t>
  </si>
  <si>
    <t>0155</t>
  </si>
  <si>
    <t>AUDITOR GENERAL OFFICE</t>
  </si>
  <si>
    <t>0160</t>
  </si>
  <si>
    <t>LEGISLATIVE COUNSEL BUREAU</t>
  </si>
  <si>
    <t>0170</t>
  </si>
  <si>
    <t>CA LAW REVISION COMMISSION</t>
  </si>
  <si>
    <t>07/01/1985</t>
  </si>
  <si>
    <t>0180</t>
  </si>
  <si>
    <t>COMMISSION ON UNIFORM ST LAWS</t>
  </si>
  <si>
    <t>0200</t>
  </si>
  <si>
    <t>JUDICIAL</t>
  </si>
  <si>
    <t>0240</t>
  </si>
  <si>
    <t>CA JUDICAL CENTER LIBRARY</t>
  </si>
  <si>
    <t>08/18/2000</t>
  </si>
  <si>
    <t>0250</t>
  </si>
  <si>
    <t>JUDICIARY</t>
  </si>
  <si>
    <t>0260</t>
  </si>
  <si>
    <t>SUPREME COURT</t>
  </si>
  <si>
    <t>0270</t>
  </si>
  <si>
    <t>JUDICIAL COUNCIL</t>
  </si>
  <si>
    <t>0280</t>
  </si>
  <si>
    <t>COMM ON JUDICIAL PERFORMANCE</t>
  </si>
  <si>
    <t>0290</t>
  </si>
  <si>
    <t>HABEAS RESOURCE CENTER</t>
  </si>
  <si>
    <t>07/23/1999</t>
  </si>
  <si>
    <t>0300</t>
  </si>
  <si>
    <t>DISTRICT COURTS OF APPEAL</t>
  </si>
  <si>
    <t>04/05/1984</t>
  </si>
  <si>
    <t>0310</t>
  </si>
  <si>
    <t>FIRST DIST COURT OF APPEAL</t>
  </si>
  <si>
    <t>0320</t>
  </si>
  <si>
    <t>SECOND DIST COURT OF APPEAL</t>
  </si>
  <si>
    <t>0330</t>
  </si>
  <si>
    <t>THIRD DIST COURT OF APPEAL</t>
  </si>
  <si>
    <t>0340</t>
  </si>
  <si>
    <t>FOURTH DIST COURT OF APPEAL</t>
  </si>
  <si>
    <t>0350</t>
  </si>
  <si>
    <t>FIFTH DIST COURT OF APPEAL</t>
  </si>
  <si>
    <t>0360</t>
  </si>
  <si>
    <t>SIXTH DIST COURT OF APPEAL</t>
  </si>
  <si>
    <t>0390</t>
  </si>
  <si>
    <t>CONTRIB TO JUDGES RET FUND</t>
  </si>
  <si>
    <t>0420</t>
  </si>
  <si>
    <t>SAL OF SUPERIOR COURT JUDGES</t>
  </si>
  <si>
    <t>0440</t>
  </si>
  <si>
    <t>ST BLOCK GRANT FOR SUP CT JUDG</t>
  </si>
  <si>
    <t>0450</t>
  </si>
  <si>
    <t>ST. BLK GRANT TRIAL CT.FUNDING</t>
  </si>
  <si>
    <t>0460</t>
  </si>
  <si>
    <t>NAT CENTER FOR STATE COURTS</t>
  </si>
  <si>
    <t>0490</t>
  </si>
  <si>
    <t>EXECUTIVE</t>
  </si>
  <si>
    <t>0500</t>
  </si>
  <si>
    <t>GOVERNORS OFFICE</t>
  </si>
  <si>
    <t>0505</t>
  </si>
  <si>
    <t>OFFICE OF TECHNOLOGY</t>
  </si>
  <si>
    <t>GENERAL GOVERNMENT- DO NOT USE</t>
  </si>
  <si>
    <t>11/04/2016</t>
  </si>
  <si>
    <t>0509</t>
  </si>
  <si>
    <t>GOV OFC OF BUSINESS &amp; ECONOMIC</t>
  </si>
  <si>
    <t>08/06/2013</t>
  </si>
  <si>
    <t>0511</t>
  </si>
  <si>
    <t>SEC FOR GOVERNMENT OPERATIONS</t>
  </si>
  <si>
    <t>08/26/2014</t>
  </si>
  <si>
    <t>0515</t>
  </si>
  <si>
    <t>SEC FOR BUS-CONSUM-SERV &amp; HOUS</t>
  </si>
  <si>
    <t>0825</t>
  </si>
  <si>
    <t>BUS, CONSUMER SERV, HOUSING</t>
  </si>
  <si>
    <t>08/19/2016</t>
  </si>
  <si>
    <t>0521</t>
  </si>
  <si>
    <t>SECRETARY OF TRANSPORTATION AG</t>
  </si>
  <si>
    <t>0830</t>
  </si>
  <si>
    <t>TRANSPORTATION</t>
  </si>
  <si>
    <t>0530</t>
  </si>
  <si>
    <t>HEALTH AND WELFARE AGENCY</t>
  </si>
  <si>
    <t>0815</t>
  </si>
  <si>
    <t>HEALTH AND HUMAN SERVICES</t>
  </si>
  <si>
    <t>0531</t>
  </si>
  <si>
    <t>OFFICE OF SYSTEM INTEGRATION</t>
  </si>
  <si>
    <t>0540</t>
  </si>
  <si>
    <t>NATURAL RESOURCES AGENCY, SECY</t>
  </si>
  <si>
    <t>0820</t>
  </si>
  <si>
    <t>RESOURCES</t>
  </si>
  <si>
    <t>07/08/2016</t>
  </si>
  <si>
    <t>00/00/1999</t>
  </si>
  <si>
    <t>0550</t>
  </si>
  <si>
    <t>YOUTH &amp; ADULT CORRECTIONAL AG</t>
  </si>
  <si>
    <t>0835</t>
  </si>
  <si>
    <t>CORRECTIONS AND REHAB DONOTUSE</t>
  </si>
  <si>
    <t>0552</t>
  </si>
  <si>
    <t>OFFICE OF THE INSPECTOR GENERL</t>
  </si>
  <si>
    <t>0553</t>
  </si>
  <si>
    <t>OFFICE OF INSPECTOR GENERAL</t>
  </si>
  <si>
    <t>08/29/2001</t>
  </si>
  <si>
    <t>0555</t>
  </si>
  <si>
    <t>ENVIRONMENTAL PROTECTION, SECY</t>
  </si>
  <si>
    <t>0558</t>
  </si>
  <si>
    <t>SECTY CHILD DEV &amp; EDUCATION</t>
  </si>
  <si>
    <t>0810</t>
  </si>
  <si>
    <t>EDUCATION - DO NOT USE</t>
  </si>
  <si>
    <t>0559</t>
  </si>
  <si>
    <t>SEC-LABOR-AND-WORKFORCE-DEVLMT</t>
  </si>
  <si>
    <t>0560</t>
  </si>
  <si>
    <t>CITIZEN INIT &amp; VOLUNTARY ACT</t>
  </si>
  <si>
    <t>0565</t>
  </si>
  <si>
    <t>CA COMM INDUSTRIAL INNOVATION</t>
  </si>
  <si>
    <t>0570</t>
  </si>
  <si>
    <t>GOV COUNCIL ON WEL &amp; PHYS FIT</t>
  </si>
  <si>
    <t>0580</t>
  </si>
  <si>
    <t>OFFICE CA/MEXICO AFFAIRS</t>
  </si>
  <si>
    <t>0585</t>
  </si>
  <si>
    <t>CA STATE WORLD TRADE COMM</t>
  </si>
  <si>
    <t>0590</t>
  </si>
  <si>
    <t>SOUTHWEST BOARDER REG CONN</t>
  </si>
  <si>
    <t>01/01/1984</t>
  </si>
  <si>
    <t>0630</t>
  </si>
  <si>
    <t>OFC/SP HEALTH CARE NEGOTIATNS</t>
  </si>
  <si>
    <t>0650</t>
  </si>
  <si>
    <t>OFFICE OF PLANNING &amp; RESEARCH</t>
  </si>
  <si>
    <t>0660</t>
  </si>
  <si>
    <t>DEPT. OF ECONOMIC OPPORTUNITY</t>
  </si>
  <si>
    <t>0670</t>
  </si>
  <si>
    <t>OFFICE LONG-ERM CARE</t>
  </si>
  <si>
    <t>06/28/1984</t>
  </si>
  <si>
    <t>0690</t>
  </si>
  <si>
    <t>CA EMERGENCY MANAGEMENT AGENCY</t>
  </si>
  <si>
    <t>09/17/2009</t>
  </si>
  <si>
    <t>0695</t>
  </si>
  <si>
    <t>NATURAL DISASTER ASSISTANCE</t>
  </si>
  <si>
    <t>06/28/1990</t>
  </si>
  <si>
    <t>0697</t>
  </si>
  <si>
    <t>NORTHRIDGE EARTHQUAKE</t>
  </si>
  <si>
    <t>07/30/1997</t>
  </si>
  <si>
    <t>0720</t>
  </si>
  <si>
    <t>GOVERNORS PORTRAIT</t>
  </si>
  <si>
    <t>0730</t>
  </si>
  <si>
    <t>REG OF GOV ELECT &amp; OUTGO GOV</t>
  </si>
  <si>
    <t>0740</t>
  </si>
  <si>
    <t>EXECUTIVE/CONSTITUTIONAL OFF</t>
  </si>
  <si>
    <t>0750</t>
  </si>
  <si>
    <t>OFFICE OF LIEUTENANT GOVERNOR</t>
  </si>
  <si>
    <t>0780</t>
  </si>
  <si>
    <t>RURAL YOUTH EMPLOYMENT COMM</t>
  </si>
  <si>
    <t>DEPARTMENT OF JUSTICE</t>
  </si>
  <si>
    <t>OJ HAWKINS DATA CENTER</t>
  </si>
  <si>
    <t>0840</t>
  </si>
  <si>
    <t>STATE CONTROLLER</t>
  </si>
  <si>
    <t>0841</t>
  </si>
  <si>
    <t>SCO STATEWIDE INFO TECH PROJ</t>
  </si>
  <si>
    <t>0845</t>
  </si>
  <si>
    <t>DEPARTMENT OF INSURANCE</t>
  </si>
  <si>
    <t>10/24/1995</t>
  </si>
  <si>
    <t>0850</t>
  </si>
  <si>
    <t>CAL STATE LOTTERY COMMISSION</t>
  </si>
  <si>
    <t>0855</t>
  </si>
  <si>
    <t>GAMBLING CONTROL COMMISSION</t>
  </si>
  <si>
    <t>0860</t>
  </si>
  <si>
    <t>STATE BOARD OF EQUALIZATION</t>
  </si>
  <si>
    <t>0870</t>
  </si>
  <si>
    <t>OFFICE OF TAX APPEALS</t>
  </si>
  <si>
    <t>08/06/2018</t>
  </si>
  <si>
    <t>0890</t>
  </si>
  <si>
    <t>SECRETARY OF STATE</t>
  </si>
  <si>
    <t>0911</t>
  </si>
  <si>
    <t>CITIZENS REDISTRICTING COMM</t>
  </si>
  <si>
    <t>08/25/2010</t>
  </si>
  <si>
    <t>0950</t>
  </si>
  <si>
    <t>STATE TREASURER</t>
  </si>
  <si>
    <t>04/18/1988</t>
  </si>
  <si>
    <t>0953</t>
  </si>
  <si>
    <t>LOCAL AGY INDEBTEDNSS LOAN PGM</t>
  </si>
  <si>
    <t>0954</t>
  </si>
  <si>
    <t>SCHOLARSHARE INVESTMENT BOARD</t>
  </si>
  <si>
    <t>EDUCATION</t>
  </si>
  <si>
    <t>0955</t>
  </si>
  <si>
    <t>CALIF REVENUE BOND FINAN AU</t>
  </si>
  <si>
    <t>0956</t>
  </si>
  <si>
    <t>DEBT ADVISORY COMMISSION</t>
  </si>
  <si>
    <t>0959</t>
  </si>
  <si>
    <t>CA DEBT LIMIT ALLOCATN COMMITE</t>
  </si>
  <si>
    <t>0960</t>
  </si>
  <si>
    <t>LOCAL AGCY INDEBTEDNESS LN PG</t>
  </si>
  <si>
    <t>0962</t>
  </si>
  <si>
    <t>CAL RAIL PASSENGER FIN COMM</t>
  </si>
  <si>
    <t>0964</t>
  </si>
  <si>
    <t>CA TRANSPORTATION FINANCE AUTH</t>
  </si>
  <si>
    <t>0965</t>
  </si>
  <si>
    <t>CA INDUSTRL DEV FIN ADVRY COMM</t>
  </si>
  <si>
    <t>0968</t>
  </si>
  <si>
    <t>MORTGAGE BOND ALLOC COMMITTEE</t>
  </si>
  <si>
    <t>0970</t>
  </si>
  <si>
    <t>0971</t>
  </si>
  <si>
    <t>CA ALT ENERGY SOURCE FIN AUTHY</t>
  </si>
  <si>
    <t>0974</t>
  </si>
  <si>
    <t>POLLUTION CONTRL FINANCNG AUTH</t>
  </si>
  <si>
    <t>0975</t>
  </si>
  <si>
    <t>L.A. STATE BLDG AUTHORITY</t>
  </si>
  <si>
    <t>0976</t>
  </si>
  <si>
    <t>CAPITOL AREA DEVELOPMENT AUTH</t>
  </si>
  <si>
    <t>0977</t>
  </si>
  <si>
    <t>CA HEALTH FACILITIES FIN AUTH</t>
  </si>
  <si>
    <t>0978</t>
  </si>
  <si>
    <t>S.F. STATE BLDG AUTHORITY</t>
  </si>
  <si>
    <t>0979</t>
  </si>
  <si>
    <t>OAKLAND JOINT POWERS AUTHORITY</t>
  </si>
  <si>
    <t>0980</t>
  </si>
  <si>
    <t>0981</t>
  </si>
  <si>
    <t>CALIFORNIA ABLE ACT BOARD</t>
  </si>
  <si>
    <t>08/10/2017</t>
  </si>
  <si>
    <t>0983</t>
  </si>
  <si>
    <t>CA URBN WTRFRNT AREA RES FIN</t>
  </si>
  <si>
    <t>0984</t>
  </si>
  <si>
    <t>SECURE CHOICE RETIRE SAVINGS I</t>
  </si>
  <si>
    <t>09/29/2014</t>
  </si>
  <si>
    <t>0985</t>
  </si>
  <si>
    <t>CA SCHOOL FINANCE AUTHORITY</t>
  </si>
  <si>
    <t>0986</t>
  </si>
  <si>
    <t>CAL STUDENT LOAN AUTHORITY</t>
  </si>
  <si>
    <t>0989</t>
  </si>
  <si>
    <t>CAL EDUC FACILITIES AUTHORITY</t>
  </si>
  <si>
    <t>0992</t>
  </si>
  <si>
    <t>HAZARD SUB CLEANUP FIN AUTH</t>
  </si>
  <si>
    <t>0994</t>
  </si>
  <si>
    <t>CA.COMM.TO PROMOTE SELF-ESTEEM</t>
  </si>
  <si>
    <t>1000</t>
  </si>
  <si>
    <t>STATE AND CONSUMER SERVICES</t>
  </si>
  <si>
    <t>1045</t>
  </si>
  <si>
    <t>CANNABIS CONTROL APPEALS PANEL</t>
  </si>
  <si>
    <t>1108</t>
  </si>
  <si>
    <t>CALIFORNIA AEROSPACE COMM.</t>
  </si>
  <si>
    <t>1110</t>
  </si>
  <si>
    <t>DEPT OF CONSUMER AFFAIRS</t>
  </si>
  <si>
    <t>1111</t>
  </si>
  <si>
    <t>1115</t>
  </si>
  <si>
    <t>DEPARTMENT OF CANNABIS CONTROL</t>
  </si>
  <si>
    <t>07/14/2023</t>
  </si>
  <si>
    <t>1120</t>
  </si>
  <si>
    <t>BOARD OF ACCOUNTANCY</t>
  </si>
  <si>
    <t>1130</t>
  </si>
  <si>
    <t>BD OF ARCHITECTURAL EXAMINERS</t>
  </si>
  <si>
    <t>1140</t>
  </si>
  <si>
    <t>STATE ATHLETIC COMMISSION</t>
  </si>
  <si>
    <t>1150</t>
  </si>
  <si>
    <t>BUREAU OF AUTOMOTIVE REPAIR</t>
  </si>
  <si>
    <t>1160</t>
  </si>
  <si>
    <t>BOARD OF BARBER EXAMINERS</t>
  </si>
  <si>
    <t>1165</t>
  </si>
  <si>
    <t>BD OF BARBERING &amp; COSMETOLOGY</t>
  </si>
  <si>
    <t>1170</t>
  </si>
  <si>
    <t>BD OF BEHAVIORAL SCIENCE EXAM</t>
  </si>
  <si>
    <t>1180</t>
  </si>
  <si>
    <t>CEMETERY BOARD</t>
  </si>
  <si>
    <t>1190</t>
  </si>
  <si>
    <t>BUR COLLECTION/INVEST SERVICE</t>
  </si>
  <si>
    <t>1200</t>
  </si>
  <si>
    <t>BUREAU OF COLLECTION AGENCIES</t>
  </si>
  <si>
    <t>1210</t>
  </si>
  <si>
    <t>BUREAU OF PRIVATE INVEST &amp; ADJ</t>
  </si>
  <si>
    <t>1220</t>
  </si>
  <si>
    <t>ST BD OF REGIS CONSTR INSP</t>
  </si>
  <si>
    <t>1230</t>
  </si>
  <si>
    <t>CONTRACTORS LICENSE BOARD</t>
  </si>
  <si>
    <t>1240</t>
  </si>
  <si>
    <t>BOARD OF COSMETOLOGY</t>
  </si>
  <si>
    <t>1250</t>
  </si>
  <si>
    <t>BOARD OF DENTAL EXAMINERS</t>
  </si>
  <si>
    <t>10/28/2016</t>
  </si>
  <si>
    <t>1260</t>
  </si>
  <si>
    <t>BOARD OF DENTISTRY</t>
  </si>
  <si>
    <t>1270</t>
  </si>
  <si>
    <t>BOARD OF DENTAL AUXILIARIES</t>
  </si>
  <si>
    <t>1280</t>
  </si>
  <si>
    <t>BU OF ELECTRON &amp; APPL REPAIR</t>
  </si>
  <si>
    <t>1300</t>
  </si>
  <si>
    <t>BUREAU OF PERSONNEL SERVICES</t>
  </si>
  <si>
    <t>1310</t>
  </si>
  <si>
    <t>NURSES REGISTRY</t>
  </si>
  <si>
    <t>1330</t>
  </si>
  <si>
    <t>BD OF FUNERAL DIR &amp; EMBALMERS</t>
  </si>
  <si>
    <t>1340</t>
  </si>
  <si>
    <t>BD OF REGIS FOR GEOLOGISTS</t>
  </si>
  <si>
    <t>1350</t>
  </si>
  <si>
    <t>BD OF GUIDE DOGS FOR THE BLIND</t>
  </si>
  <si>
    <t>1360</t>
  </si>
  <si>
    <t>BUREAU OF HOME FURNISHING</t>
  </si>
  <si>
    <t>1370</t>
  </si>
  <si>
    <t>BD OF LANDSCAPE ARCHITECTS</t>
  </si>
  <si>
    <t>1380</t>
  </si>
  <si>
    <t>MEDICAL QUALITY ASSURANCE</t>
  </si>
  <si>
    <t>11/03/2016</t>
  </si>
  <si>
    <t>1390</t>
  </si>
  <si>
    <t>BD OF MED QUALITY ASSURANCE</t>
  </si>
  <si>
    <t>1400</t>
  </si>
  <si>
    <t>ACUPUNCTURE ADVIS COMMITTEE</t>
  </si>
  <si>
    <t>1410</t>
  </si>
  <si>
    <t>BD-MED EXAM-HEARING AID DISP</t>
  </si>
  <si>
    <t>1420</t>
  </si>
  <si>
    <t>PHYSICAL THERAPY EXAM COMM</t>
  </si>
  <si>
    <t>1430</t>
  </si>
  <si>
    <t>BD OF REGIS PHYS ASST EX COMM</t>
  </si>
  <si>
    <t>1440</t>
  </si>
  <si>
    <t>PODIATRY EXAMINING COMMITTEE</t>
  </si>
  <si>
    <t>1450</t>
  </si>
  <si>
    <t>PSYCHOLOGY EXAMINING COMMITTEE</t>
  </si>
  <si>
    <t>1455</t>
  </si>
  <si>
    <t>RESPIRATORY CARE EXAM COMITE</t>
  </si>
  <si>
    <t>1460</t>
  </si>
  <si>
    <t>BD OF M Q ASSURSP PATH AUDIO</t>
  </si>
  <si>
    <t>1470</t>
  </si>
  <si>
    <t>BD OF NURSING HOME ADMIN</t>
  </si>
  <si>
    <t>1475</t>
  </si>
  <si>
    <t>BD OF OCCUPATIONAL THERAPY</t>
  </si>
  <si>
    <t>1480</t>
  </si>
  <si>
    <t>BOARD OF OPTOMETRY</t>
  </si>
  <si>
    <t>1485</t>
  </si>
  <si>
    <t>OSTEOPATHIC-MEDICAL-OF CA</t>
  </si>
  <si>
    <t>1490</t>
  </si>
  <si>
    <t>BOARD OF PHARMACY</t>
  </si>
  <si>
    <t>1500</t>
  </si>
  <si>
    <t>BD OF REG-PROFFESSIONAL ENGRS</t>
  </si>
  <si>
    <t>1510</t>
  </si>
  <si>
    <t>BD OF REGISTERED NURSING</t>
  </si>
  <si>
    <t>1520</t>
  </si>
  <si>
    <t>CERT SHORTHAND REPORTERS BD</t>
  </si>
  <si>
    <t>1530</t>
  </si>
  <si>
    <t>STRUCTURAL PEST CONTROL BOARD</t>
  </si>
  <si>
    <t>1540</t>
  </si>
  <si>
    <t>TAX PREPARERS' PROGRAM</t>
  </si>
  <si>
    <t>1550</t>
  </si>
  <si>
    <t>VETERINARY MEDICINE</t>
  </si>
  <si>
    <t>1560</t>
  </si>
  <si>
    <t>VETERINARY MEDICINE EXAM BOARD</t>
  </si>
  <si>
    <t>1570</t>
  </si>
  <si>
    <t>ANIMAL HEALTH TECH EXAM COMM</t>
  </si>
  <si>
    <t>1580</t>
  </si>
  <si>
    <t>BD OF VOC NURS AND PSYCH TECH</t>
  </si>
  <si>
    <t>1590</t>
  </si>
  <si>
    <t>VOCATIONAL NURSE EXAM BOARD</t>
  </si>
  <si>
    <t>1600</t>
  </si>
  <si>
    <t>PSYCH TECH EXAMINING COMMITTEE</t>
  </si>
  <si>
    <t>1654</t>
  </si>
  <si>
    <t>1655</t>
  </si>
  <si>
    <t>DEPT OF CONSUMER AFF -ADM SEV</t>
  </si>
  <si>
    <t>1660</t>
  </si>
  <si>
    <t>DEPT CONSUMER AFF-INVESTIGATE</t>
  </si>
  <si>
    <t>1670</t>
  </si>
  <si>
    <t>DEPT CONSUMER AFF-ADMINISTN</t>
  </si>
  <si>
    <t>1680</t>
  </si>
  <si>
    <t>CONSUMER AFF-BLDG MAINT &amp; OP</t>
  </si>
  <si>
    <t>1690</t>
  </si>
  <si>
    <t>SIESMIC SAFETY COMMISSION</t>
  </si>
  <si>
    <t>1700</t>
  </si>
  <si>
    <t>DEPT FAIR EMPLOYMENT &amp; HOUSING</t>
  </si>
  <si>
    <t>1701</t>
  </si>
  <si>
    <t>BUSINESS OVERSIGHT</t>
  </si>
  <si>
    <t>1703</t>
  </si>
  <si>
    <t>CA PRIVACY PROTECTION AGENCY</t>
  </si>
  <si>
    <t>BUS CONSUMER SER HOUSING</t>
  </si>
  <si>
    <t>05/09/2022</t>
  </si>
  <si>
    <t>1705</t>
  </si>
  <si>
    <t>FAIR EMPLOY AND HOUSING COMM</t>
  </si>
  <si>
    <t>1750</t>
  </si>
  <si>
    <t>HORSE RACING BOARD</t>
  </si>
  <si>
    <t>1790</t>
  </si>
  <si>
    <t>OFFICE OF STATE ARCHITECT</t>
  </si>
  <si>
    <t>1800</t>
  </si>
  <si>
    <t>OFFICE OF STATE PRINTING</t>
  </si>
  <si>
    <t>1820</t>
  </si>
  <si>
    <t>OFFICE OF PUBLIC SCHOOL CONSTR</t>
  </si>
  <si>
    <t>1830</t>
  </si>
  <si>
    <t>STATE ALLOCATION BOARD</t>
  </si>
  <si>
    <t>1860</t>
  </si>
  <si>
    <t>INTERGOVT PERS ACT ADVIS COUNC</t>
  </si>
  <si>
    <t>1880</t>
  </si>
  <si>
    <t>STATE PERSONNEL BOARD</t>
  </si>
  <si>
    <t>2000</t>
  </si>
  <si>
    <t>BUSINESS, TRANSP AND HOUSING</t>
  </si>
  <si>
    <t>12/21/2016</t>
  </si>
  <si>
    <t>2010</t>
  </si>
  <si>
    <t>BUSINESS AND HOUSING</t>
  </si>
  <si>
    <t>2020</t>
  </si>
  <si>
    <t>2050</t>
  </si>
  <si>
    <t>BUS, TRANSP AND HSNG AGCY PROG</t>
  </si>
  <si>
    <t>2060</t>
  </si>
  <si>
    <t>SOLAR CAL OFFICE</t>
  </si>
  <si>
    <t>2070</t>
  </si>
  <si>
    <t>SOLAR BUSINESS OFFICE</t>
  </si>
  <si>
    <t>2080</t>
  </si>
  <si>
    <t>SOLAR AND ENERGY CONS MTG CORP</t>
  </si>
  <si>
    <t>2100</t>
  </si>
  <si>
    <t>DEPT OF ALCOHOLIC BEV CONTROL</t>
  </si>
  <si>
    <t>12/12/2016</t>
  </si>
  <si>
    <t>2120</t>
  </si>
  <si>
    <t>ALCOHOLIC BEV CTRL APPEALS BD</t>
  </si>
  <si>
    <t>2140</t>
  </si>
  <si>
    <t>STATE BANKING DEPARTMENT</t>
  </si>
  <si>
    <t>2150</t>
  </si>
  <si>
    <t>FINANCIAL INSTITUTIONS</t>
  </si>
  <si>
    <t>ADD BACK TO POST PY REVERSAL</t>
  </si>
  <si>
    <t>DELETE 16/17</t>
  </si>
  <si>
    <t>08/18/2016</t>
  </si>
  <si>
    <t>2180</t>
  </si>
  <si>
    <t>DEPART OF CORPORATIONS</t>
  </si>
  <si>
    <t>08/24/2016</t>
  </si>
  <si>
    <t>2190</t>
  </si>
  <si>
    <t>MAJOR MEDICAL INSURANCE BOARD</t>
  </si>
  <si>
    <t>2200</t>
  </si>
  <si>
    <t>DEPARTMENT OF COMMERCE</t>
  </si>
  <si>
    <t>2220</t>
  </si>
  <si>
    <t>OFFICE OF SMALL BUSINESS DEVEL</t>
  </si>
  <si>
    <t>2222</t>
  </si>
  <si>
    <t>ST ASST FD FOR ENTERPRISE</t>
  </si>
  <si>
    <t>2225</t>
  </si>
  <si>
    <t>UNITARY FUND PROGRAMS</t>
  </si>
  <si>
    <t>2230</t>
  </si>
  <si>
    <t>CA INDTRL DEV FINCL ADVRY COMM</t>
  </si>
  <si>
    <t>2235</t>
  </si>
  <si>
    <t>CA HOME LOAN MORTGAGE ASSN</t>
  </si>
  <si>
    <t>2240</t>
  </si>
  <si>
    <t>DEPT-HOUSING/COMMUNITY DEVEL</t>
  </si>
  <si>
    <t>2245</t>
  </si>
  <si>
    <t>CALIFORNIA HOUSING FINANCE AGY</t>
  </si>
  <si>
    <t>2265</t>
  </si>
  <si>
    <t>CALIFORNIA HOUSING INSURANCE</t>
  </si>
  <si>
    <t>2270</t>
  </si>
  <si>
    <t>2290</t>
  </si>
  <si>
    <t>2295</t>
  </si>
  <si>
    <t>INSURANCE ADVISORY OFFICE</t>
  </si>
  <si>
    <t>2320</t>
  </si>
  <si>
    <t>DEPARTMENT OF REAL ESTATE</t>
  </si>
  <si>
    <t>12/20/2018</t>
  </si>
  <si>
    <t>2340</t>
  </si>
  <si>
    <t>DEPARTMENT OF SAVINGS AND LOAN</t>
  </si>
  <si>
    <t>2400</t>
  </si>
  <si>
    <t>DEPT. OF MANAGED HEALTH CARE</t>
  </si>
  <si>
    <t>2500</t>
  </si>
  <si>
    <t>08/18/2017</t>
  </si>
  <si>
    <t>2600</t>
  </si>
  <si>
    <t>CA TRANSPORTATION COMM</t>
  </si>
  <si>
    <t>2640</t>
  </si>
  <si>
    <t>STATE TRANSIT ASSISTANCE</t>
  </si>
  <si>
    <t>2660</t>
  </si>
  <si>
    <t>DEPT OF TRANSPORTATION</t>
  </si>
  <si>
    <t>2665</t>
  </si>
  <si>
    <t>HIGH SPEED RAIL AUTHORITY</t>
  </si>
  <si>
    <t>2670</t>
  </si>
  <si>
    <t>BD OF PILOT COMMISSIONERS-SF</t>
  </si>
  <si>
    <t>08/03/2017</t>
  </si>
  <si>
    <t>2700</t>
  </si>
  <si>
    <t>OFFICE OF TRAFFIC SAFETY</t>
  </si>
  <si>
    <t>MERGED W/0521-ADD 4 PY ACCR RV</t>
  </si>
  <si>
    <t>09/28/2016</t>
  </si>
  <si>
    <t>2720</t>
  </si>
  <si>
    <t>DEPT OF CAL HIGHWAY PATROL</t>
  </si>
  <si>
    <t>2740</t>
  </si>
  <si>
    <t>DEPARTMENT OF MOTOR VEHICLES</t>
  </si>
  <si>
    <t>2780</t>
  </si>
  <si>
    <t>STEPHEN P TEALE DATA CENTER</t>
  </si>
  <si>
    <t>2900</t>
  </si>
  <si>
    <t>TRADE AND COMMERCE</t>
  </si>
  <si>
    <t>2920</t>
  </si>
  <si>
    <t>TECHNOLOGY TRADE &amp; COMMERCE AG</t>
  </si>
  <si>
    <t>3000</t>
  </si>
  <si>
    <t>NATURAL RESOURCES</t>
  </si>
  <si>
    <t>3100</t>
  </si>
  <si>
    <t>EXPOSITION PARK</t>
  </si>
  <si>
    <t>10/17/2018</t>
  </si>
  <si>
    <t>3105</t>
  </si>
  <si>
    <t>CALIFORNIA AFRO-AMERICAN MUSEU</t>
  </si>
  <si>
    <t>09/05/2014</t>
  </si>
  <si>
    <t>3110</t>
  </si>
  <si>
    <t>SPECIAL RESOURCES PROGRAMS</t>
  </si>
  <si>
    <t>3125</t>
  </si>
  <si>
    <t>CALIF TAHOE CONSERVANCY</t>
  </si>
  <si>
    <t>3130</t>
  </si>
  <si>
    <t>WATERWAYS MANAGEMENT PLANNING</t>
  </si>
  <si>
    <t>3140</t>
  </si>
  <si>
    <t>SEA GRANT PROGRAM</t>
  </si>
  <si>
    <t>3150</t>
  </si>
  <si>
    <t>CALIF TAHOE REGIONAL PLANNING</t>
  </si>
  <si>
    <t>3180</t>
  </si>
  <si>
    <t>GEOTHERMAL RESOURCES DEV PRGMS</t>
  </si>
  <si>
    <t>3210</t>
  </si>
  <si>
    <t>ENVIRONMENTAL PROTECTION PGM</t>
  </si>
  <si>
    <t>03/08/2001</t>
  </si>
  <si>
    <t>3300</t>
  </si>
  <si>
    <t>ST ASSIT FD-ENGY CA BUS/INDUS</t>
  </si>
  <si>
    <t>3310</t>
  </si>
  <si>
    <t>CA ALT ENERGY SOURCE FIN AUTH</t>
  </si>
  <si>
    <t>3320</t>
  </si>
  <si>
    <t>POLLUTN CONTL FINANCING AUTH</t>
  </si>
  <si>
    <t>3340</t>
  </si>
  <si>
    <t>CALIFORNIA CONSERVATION CORPS</t>
  </si>
  <si>
    <t>3355</t>
  </si>
  <si>
    <t>OFFICE OF ENERGY INFRA SAFETY</t>
  </si>
  <si>
    <t>3360</t>
  </si>
  <si>
    <t>ENERGY RES CONS AND DEV COMM</t>
  </si>
  <si>
    <t>3410</t>
  </si>
  <si>
    <t>HUMBOLDT BAY FUND</t>
  </si>
  <si>
    <t>07/21/1986</t>
  </si>
  <si>
    <t>3460</t>
  </si>
  <si>
    <t>COLORADO RIVER BOARD OF CALIF</t>
  </si>
  <si>
    <t>3480</t>
  </si>
  <si>
    <t>DEPARTMENT OF CONSERVATION</t>
  </si>
  <si>
    <t>3540</t>
  </si>
  <si>
    <t>DEPARTMENT OF FORESTRY</t>
  </si>
  <si>
    <t>3560</t>
  </si>
  <si>
    <t>STATE LANDS COMMISSION</t>
  </si>
  <si>
    <t>3580</t>
  </si>
  <si>
    <t>SEISMIC SAFETY COMMISSION</t>
  </si>
  <si>
    <t>3600</t>
  </si>
  <si>
    <t>DEPT OF FISH AND GAME</t>
  </si>
  <si>
    <t>3640</t>
  </si>
  <si>
    <t>WILDLIFE CONSERVATION BOARD</t>
  </si>
  <si>
    <t>3720</t>
  </si>
  <si>
    <t>CALIFORNIA COASTAL COMMISSION</t>
  </si>
  <si>
    <t>3760</t>
  </si>
  <si>
    <t>STATE COASTAL CONSERVANCY</t>
  </si>
  <si>
    <t>08/05/2016</t>
  </si>
  <si>
    <t>3780</t>
  </si>
  <si>
    <t>NATIVE AMERICAN HERITAGE COMM</t>
  </si>
  <si>
    <t>3790</t>
  </si>
  <si>
    <t>DEPT OF PARKS AND RECREATION</t>
  </si>
  <si>
    <t>3810</t>
  </si>
  <si>
    <t>SANTA MONICA MOUNTAINS CONSERV</t>
  </si>
  <si>
    <t>3820</t>
  </si>
  <si>
    <t>SF BAY CONSERVATION/DEVEL COMM</t>
  </si>
  <si>
    <t>3825</t>
  </si>
  <si>
    <t>SAN GABRIEL/LOWER LA RIVERS</t>
  </si>
  <si>
    <t>3830</t>
  </si>
  <si>
    <t>SAN JOAQUIN RIVER CONSUCY</t>
  </si>
  <si>
    <t>3835</t>
  </si>
  <si>
    <t>BALDWIN HILLS CONSERVANCY</t>
  </si>
  <si>
    <t>10/15/2002</t>
  </si>
  <si>
    <t>3840</t>
  </si>
  <si>
    <t>DELTA PROTECTION COMMISSION</t>
  </si>
  <si>
    <t>04/04/1994</t>
  </si>
  <si>
    <t>3845</t>
  </si>
  <si>
    <t>SAN DIEGO RIVE CONSERVANCY</t>
  </si>
  <si>
    <t>08/18/2004</t>
  </si>
  <si>
    <t>3850</t>
  </si>
  <si>
    <t>COACHELLA VALLEY MTS CONSV</t>
  </si>
  <si>
    <t>3855</t>
  </si>
  <si>
    <t>SIERRA NEVADA CONSERVANCY</t>
  </si>
  <si>
    <t>3860</t>
  </si>
  <si>
    <t>DEPARTMENT OF WATER RESOURCES</t>
  </si>
  <si>
    <t>3870</t>
  </si>
  <si>
    <t>CA BAY DELTA</t>
  </si>
  <si>
    <t>3875</t>
  </si>
  <si>
    <t>SAC-SAN JOAQUIN DELTA CONSERV</t>
  </si>
  <si>
    <t>3885</t>
  </si>
  <si>
    <t>DELTA STEWARDSHIP COUNCIL</t>
  </si>
  <si>
    <t>3900</t>
  </si>
  <si>
    <t>AIR RESOURCES BOARD</t>
  </si>
  <si>
    <t>06/23/1992</t>
  </si>
  <si>
    <t>3910</t>
  </si>
  <si>
    <t>CA INTEGRATED WASTE MANAGE. BD</t>
  </si>
  <si>
    <t>3930</t>
  </si>
  <si>
    <t>DEPT OF PESTICIDE REGULATION</t>
  </si>
  <si>
    <t>3940</t>
  </si>
  <si>
    <t>ST WATER RESOURCES CONTROL BD</t>
  </si>
  <si>
    <t>3945</t>
  </si>
  <si>
    <t>PYMT OF INTEREST ON PMIA LOANS</t>
  </si>
  <si>
    <t>10/23/1990</t>
  </si>
  <si>
    <t>3946</t>
  </si>
  <si>
    <t>GENERAL OBLIGATION BONDS</t>
  </si>
  <si>
    <t>3948</t>
  </si>
  <si>
    <t>STATE MANDATED LOCAL COSTS</t>
  </si>
  <si>
    <t>3949</t>
  </si>
  <si>
    <t>MISC ADJUSTMENTS</t>
  </si>
  <si>
    <t>3960</t>
  </si>
  <si>
    <t>DEPT OF TOXIC SUBSTANCES CTL</t>
  </si>
  <si>
    <t>3970</t>
  </si>
  <si>
    <t>RESOURCES RECYCLING RECOVERY</t>
  </si>
  <si>
    <t>3980</t>
  </si>
  <si>
    <t>OFFICE OF ENVIR HLTH HAZ ASS</t>
  </si>
  <si>
    <t>4000</t>
  </si>
  <si>
    <t>HEALTH AND WELFARE</t>
  </si>
  <si>
    <t>4100</t>
  </si>
  <si>
    <t>STATE COUNCIL-DEV DISABILITY</t>
  </si>
  <si>
    <t>4110</t>
  </si>
  <si>
    <t>AREA BOARD-DEV DISABILITY</t>
  </si>
  <si>
    <t>4120</t>
  </si>
  <si>
    <t>EMERGENCY MEDICAL SERVICE AUTH</t>
  </si>
  <si>
    <t>4130</t>
  </si>
  <si>
    <t>HLTH AND HUMAN SVCS AGY CTR</t>
  </si>
  <si>
    <t>4140</t>
  </si>
  <si>
    <t>OFFICE OF HEALTH PLAN &amp; DEV</t>
  </si>
  <si>
    <t>4150</t>
  </si>
  <si>
    <t>DEPT OF MANAGED HEALTH CARE</t>
  </si>
  <si>
    <t>RENUMBERED FROM 2400</t>
  </si>
  <si>
    <t>4170</t>
  </si>
  <si>
    <t>DEPARTMENT OF AGING</t>
  </si>
  <si>
    <t>4180</t>
  </si>
  <si>
    <t>COMMISSION ON AGING</t>
  </si>
  <si>
    <t>4185</t>
  </si>
  <si>
    <t>CALIFORNIA SENIOR LEGISLATURE</t>
  </si>
  <si>
    <t>4210</t>
  </si>
  <si>
    <t>GOV COUNCIL DRUG/ALCOHOL ABUSE</t>
  </si>
  <si>
    <t>4220</t>
  </si>
  <si>
    <t>GOV ADV COM CHILD DEVEL PROG</t>
  </si>
  <si>
    <t>4250</t>
  </si>
  <si>
    <t>CA. CHILDREN AND FAMILIES COMM</t>
  </si>
  <si>
    <t>4260</t>
  </si>
  <si>
    <t>DEPARTMENT OF HEALTH CARE SVCS</t>
  </si>
  <si>
    <t>4265</t>
  </si>
  <si>
    <t>DEPARTMENT OF PUBLIC HEALTH</t>
  </si>
  <si>
    <t>4270</t>
  </si>
  <si>
    <t>CAL MED ASSISTANCE COMMISSION</t>
  </si>
  <si>
    <t>4280</t>
  </si>
  <si>
    <t>MANAGED RISK MED INSUR BD.</t>
  </si>
  <si>
    <t>4300</t>
  </si>
  <si>
    <t>DEPT. DEVELOPMENTAL SVCS</t>
  </si>
  <si>
    <t>4310</t>
  </si>
  <si>
    <t>DO NOT USE AGENCY MERGED WITH</t>
  </si>
  <si>
    <t>09/07/2018</t>
  </si>
  <si>
    <t>4320</t>
  </si>
  <si>
    <t>STATE HOSPITALS</t>
  </si>
  <si>
    <t>4350</t>
  </si>
  <si>
    <t>4370</t>
  </si>
  <si>
    <t>4390</t>
  </si>
  <si>
    <t>4400</t>
  </si>
  <si>
    <t>4430</t>
  </si>
  <si>
    <t>4440</t>
  </si>
  <si>
    <t>DEPT. OF STATE HOSPITAL</t>
  </si>
  <si>
    <t>4450</t>
  </si>
  <si>
    <t>SACRAMENTO STATE HOSPITAL</t>
  </si>
  <si>
    <t>4460</t>
  </si>
  <si>
    <t>4470</t>
  </si>
  <si>
    <t>ATASCADERO STATE HOSPITAL</t>
  </si>
  <si>
    <t>4490</t>
  </si>
  <si>
    <t>METROPOLITAN STATE HOSPITAL</t>
  </si>
  <si>
    <t>4500</t>
  </si>
  <si>
    <t>NAPA STATE HOSPITAL</t>
  </si>
  <si>
    <t>4510</t>
  </si>
  <si>
    <t>PATTON STATE HOSPITAL</t>
  </si>
  <si>
    <t>4520</t>
  </si>
  <si>
    <t>STOCKTON STATE HOSPITAL-DMH</t>
  </si>
  <si>
    <t>4530</t>
  </si>
  <si>
    <t>VACAVILLE STATE HOSPITAL</t>
  </si>
  <si>
    <t>4540</t>
  </si>
  <si>
    <t>COALINGA STATE HOSPITAL</t>
  </si>
  <si>
    <t>4550</t>
  </si>
  <si>
    <t>SALINAS STATE HOSPITAL</t>
  </si>
  <si>
    <t>4560</t>
  </si>
  <si>
    <t>MENTAL HEALTH SVCS OVERSIGHT</t>
  </si>
  <si>
    <t>4700</t>
  </si>
  <si>
    <t>DEPT. COMMUNTY SVCS AND DEV</t>
  </si>
  <si>
    <t>4800</t>
  </si>
  <si>
    <t>CA. HLTH AND BENEFIT EXCHANGE</t>
  </si>
  <si>
    <t>5160</t>
  </si>
  <si>
    <t>DEPARTMENT OF REHABILITATION</t>
  </si>
  <si>
    <t>5165</t>
  </si>
  <si>
    <t>YOUTH AND COMMUNITY RESTORATIO</t>
  </si>
  <si>
    <t>09/09/2019</t>
  </si>
  <si>
    <t>5170</t>
  </si>
  <si>
    <t>ST INDPT LIVING COUNCIL</t>
  </si>
  <si>
    <t>5175</t>
  </si>
  <si>
    <t>DEPT OF CHILD SUPPORT SERVICE</t>
  </si>
  <si>
    <t>5180</t>
  </si>
  <si>
    <t>DEPT OF SOCIAL SERVICES</t>
  </si>
  <si>
    <t>5190</t>
  </si>
  <si>
    <t>CALIF HEALTH FACILITIES COMM</t>
  </si>
  <si>
    <t>5195</t>
  </si>
  <si>
    <t>STATE-LOCAL REALIGNMENT</t>
  </si>
  <si>
    <t>5196</t>
  </si>
  <si>
    <t>STATE-LOCAL REALIGNMENT,2011</t>
  </si>
  <si>
    <t>5210</t>
  </si>
  <si>
    <t>CORRECTIONS AND REHABILITATION</t>
  </si>
  <si>
    <t>5225</t>
  </si>
  <si>
    <t>DEPT OF CORRECTIONS &amp; REHAB</t>
  </si>
  <si>
    <t>5226</t>
  </si>
  <si>
    <t>CORRECTIONS &amp; REHAB HDQTRS</t>
  </si>
  <si>
    <t>5227</t>
  </si>
  <si>
    <t>STATE/COMMUNITY CORRECTIONS</t>
  </si>
  <si>
    <t>5228</t>
  </si>
  <si>
    <t>SAFE NGHBORHOODS &amp; SCHOOLS ACT</t>
  </si>
  <si>
    <t>5231</t>
  </si>
  <si>
    <t>CORRECTIONS &amp; REHAB CORCORAN</t>
  </si>
  <si>
    <t>5232</t>
  </si>
  <si>
    <t>CORRECTIONS &amp; REHAB EL CENTRO</t>
  </si>
  <si>
    <t>5233</t>
  </si>
  <si>
    <t>CORRECTIONS &amp; REHAB BAKERSFLD</t>
  </si>
  <si>
    <t>5234</t>
  </si>
  <si>
    <t>CORRECTIONS &amp; REHAB SACTO</t>
  </si>
  <si>
    <t>5236</t>
  </si>
  <si>
    <t>CORRECTIONS &amp; REHAB NO COAST</t>
  </si>
  <si>
    <t>5237</t>
  </si>
  <si>
    <t>CORRECTIONS &amp; REHAB CNTR COAS</t>
  </si>
  <si>
    <t>5238</t>
  </si>
  <si>
    <t>CORRECTIONS &amp; REHAB SO CAL</t>
  </si>
  <si>
    <t>5239</t>
  </si>
  <si>
    <t>DEPARTMENT OF CORRECTIONS</t>
  </si>
  <si>
    <t>5240</t>
  </si>
  <si>
    <t>DEPT OF CORRECTIONS-UNALLOC</t>
  </si>
  <si>
    <t>5241</t>
  </si>
  <si>
    <t>CORRECTIONS &amp; REHAB NO YOUTH</t>
  </si>
  <si>
    <t>5242</t>
  </si>
  <si>
    <t>CORRECTIONS &amp; REHAB SO YOUTH</t>
  </si>
  <si>
    <t>5250</t>
  </si>
  <si>
    <t>5260</t>
  </si>
  <si>
    <t>PAROLE &amp; COMMUNITY SVC DIV</t>
  </si>
  <si>
    <t>5280</t>
  </si>
  <si>
    <t>CORRECTIONAL INSTITUTIONS</t>
  </si>
  <si>
    <t>5281</t>
  </si>
  <si>
    <t>CORCORAN REGION</t>
  </si>
  <si>
    <t>5282</t>
  </si>
  <si>
    <t>EL CENTRO REGION</t>
  </si>
  <si>
    <t>5283</t>
  </si>
  <si>
    <t>BAKERSFIELD REGION</t>
  </si>
  <si>
    <t>5284</t>
  </si>
  <si>
    <t>SACRAMENTO REGION</t>
  </si>
  <si>
    <t>5285</t>
  </si>
  <si>
    <t>NORTH COAST REGION</t>
  </si>
  <si>
    <t>5286</t>
  </si>
  <si>
    <t>CENTRAL COAST REGION</t>
  </si>
  <si>
    <t>5287</t>
  </si>
  <si>
    <t>SOUTHERN CALIFORNIA REGION</t>
  </si>
  <si>
    <t>5288</t>
  </si>
  <si>
    <t>CENTRAL VALLEY REGION</t>
  </si>
  <si>
    <t>5290</t>
  </si>
  <si>
    <t>CALIF CORR CENTER SUSANVILLE</t>
  </si>
  <si>
    <t>5291</t>
  </si>
  <si>
    <t>CA ST PRISON-MADERA CO II</t>
  </si>
  <si>
    <t>5292</t>
  </si>
  <si>
    <t>CA ST PRISON-MONTEREY CO SOLII</t>
  </si>
  <si>
    <t>5295</t>
  </si>
  <si>
    <t>CA ST PRISON-LASSEN CO SUSANII</t>
  </si>
  <si>
    <t>5300</t>
  </si>
  <si>
    <t>CA CORRECTIONAL INSTITUTION</t>
  </si>
  <si>
    <t>5310</t>
  </si>
  <si>
    <t>CALIFORNIA INSTITUTION FOR MEN</t>
  </si>
  <si>
    <t>5320</t>
  </si>
  <si>
    <t>CALIF INSTITUTION FOR WOMEN</t>
  </si>
  <si>
    <t>5330</t>
  </si>
  <si>
    <t>CALIFORNIA MEDICAL FACILITY</t>
  </si>
  <si>
    <t>5335</t>
  </si>
  <si>
    <t>CA STATE PRISON-SOLANO COUNTY</t>
  </si>
  <si>
    <t>5340</t>
  </si>
  <si>
    <t>CALIFORNIA MENS COLONY</t>
  </si>
  <si>
    <t>5341</t>
  </si>
  <si>
    <t>CALIF ST PRISON, FRESNO CO</t>
  </si>
  <si>
    <t>5342</t>
  </si>
  <si>
    <t>CALIF ST PRISON, IMPERIAL CO</t>
  </si>
  <si>
    <t>5343</t>
  </si>
  <si>
    <t>CALIF RECEPTION CENTER, LA</t>
  </si>
  <si>
    <t>5344</t>
  </si>
  <si>
    <t>CA STATE PRISON, SACRAMENTO</t>
  </si>
  <si>
    <t>5349</t>
  </si>
  <si>
    <t>CORCORAN CENTER</t>
  </si>
  <si>
    <t>5350</t>
  </si>
  <si>
    <t>CALIF REHABILITATION CENTER</t>
  </si>
  <si>
    <t>5351</t>
  </si>
  <si>
    <t>CA STATE PRISON-AMADOR COUNTY</t>
  </si>
  <si>
    <t>5352</t>
  </si>
  <si>
    <t>CA STATE PRISON-KINGS COUNTY</t>
  </si>
  <si>
    <t>5353</t>
  </si>
  <si>
    <t>CA STATE PRISON- L.A. COUNTY</t>
  </si>
  <si>
    <t>5354</t>
  </si>
  <si>
    <t>CA STATE PRISON-RIVERSIDE CO.</t>
  </si>
  <si>
    <t>5355</t>
  </si>
  <si>
    <t>CALIF ST PRISON RIVERSIDE</t>
  </si>
  <si>
    <t>5356</t>
  </si>
  <si>
    <t>CA STATE PRISON-S/BERN COUNTY</t>
  </si>
  <si>
    <t>5357</t>
  </si>
  <si>
    <t>CA STATE PRISON-S/DIEGO CO.</t>
  </si>
  <si>
    <t>5358</t>
  </si>
  <si>
    <t>CA STATE PRISON - CORCORAN</t>
  </si>
  <si>
    <t>5359</t>
  </si>
  <si>
    <t>PRISON OF THE REDWOODS</t>
  </si>
  <si>
    <t>5361</t>
  </si>
  <si>
    <t>CA STATE PRISON, MADERA COUNTY</t>
  </si>
  <si>
    <t>5362</t>
  </si>
  <si>
    <t>CA ST PRISON, IMPERIAL COUNTY</t>
  </si>
  <si>
    <t>5363</t>
  </si>
  <si>
    <t>CA ST PRISON,WASCO,KERN COUNTY</t>
  </si>
  <si>
    <t>5364</t>
  </si>
  <si>
    <t>CA ST PRISON, DELANO, KERN CO.</t>
  </si>
  <si>
    <t>5365</t>
  </si>
  <si>
    <t>CA ST PRISON-KERN CO AT DELANO</t>
  </si>
  <si>
    <t>5370</t>
  </si>
  <si>
    <t>DEUEL VOCATIONAL INSTITUTION</t>
  </si>
  <si>
    <t>5380</t>
  </si>
  <si>
    <t>FOLSOM STATE PRISON</t>
  </si>
  <si>
    <t>5384</t>
  </si>
  <si>
    <t>NO. CA WOMEN'S FACILITY</t>
  </si>
  <si>
    <t>5388</t>
  </si>
  <si>
    <t>RICHARD A MCGEE TRAINING CTR</t>
  </si>
  <si>
    <t>5390</t>
  </si>
  <si>
    <t>SAN QUENTIN STATE PRISON</t>
  </si>
  <si>
    <t>5400</t>
  </si>
  <si>
    <t>SIERRA CONSERVATION CENTER</t>
  </si>
  <si>
    <t>5420</t>
  </si>
  <si>
    <t>PRISON INDUSTRY AUTHORITY</t>
  </si>
  <si>
    <t>5430</t>
  </si>
  <si>
    <t>BOARD OF CORRECTIONS</t>
  </si>
  <si>
    <t>5440</t>
  </si>
  <si>
    <t>BOARD OF PRISON TERMS</t>
  </si>
  <si>
    <t>5450</t>
  </si>
  <si>
    <t>YOUTHFUL OFFENDER PAROLE BOARD</t>
  </si>
  <si>
    <t>5459</t>
  </si>
  <si>
    <t>DEPT OF YOUTH AUTHORITY</t>
  </si>
  <si>
    <t>5460</t>
  </si>
  <si>
    <t>DEPT OF YOUTH AUTHORITY-UNALOC</t>
  </si>
  <si>
    <t>5465</t>
  </si>
  <si>
    <t>YOUTH AUTHTY-HEADQUARTERS REG</t>
  </si>
  <si>
    <t>5470</t>
  </si>
  <si>
    <t>DEPT OF THE YOUTH AUTHORITY</t>
  </si>
  <si>
    <t>5471</t>
  </si>
  <si>
    <t>NORTHERN SCHOOLS</t>
  </si>
  <si>
    <t>5472</t>
  </si>
  <si>
    <t>NORTHERN CAMPS</t>
  </si>
  <si>
    <t>5473</t>
  </si>
  <si>
    <t>YOUTH AUTHTY-NORTH REGION</t>
  </si>
  <si>
    <t>5474</t>
  </si>
  <si>
    <t>SOUTHERN YOUTH CONSERV CAMPS</t>
  </si>
  <si>
    <t>5480</t>
  </si>
  <si>
    <t>COMM. ON CORR PEACE OFFICERS'</t>
  </si>
  <si>
    <t>5490</t>
  </si>
  <si>
    <t>YOUTH AUTH CONSERVATION CAMPS</t>
  </si>
  <si>
    <t>5500</t>
  </si>
  <si>
    <t>NO CAL RECEPTION CENTER/CLINIC</t>
  </si>
  <si>
    <t>5510</t>
  </si>
  <si>
    <t>SOUTHERN RECEP CENTER/CLINIC</t>
  </si>
  <si>
    <t>5520</t>
  </si>
  <si>
    <t>EL PASO DE ROBLES SCHOOL</t>
  </si>
  <si>
    <t>5530</t>
  </si>
  <si>
    <t>FRED C NELLES SCHOOL FOR BOYS</t>
  </si>
  <si>
    <t>5580</t>
  </si>
  <si>
    <t>PRESTON SCHOOL OF INDUSTRY</t>
  </si>
  <si>
    <t>5590</t>
  </si>
  <si>
    <t>VENTURA SCHOOL</t>
  </si>
  <si>
    <t>5600</t>
  </si>
  <si>
    <t>YOUTH TRAINING SCHOOL</t>
  </si>
  <si>
    <t>5990</t>
  </si>
  <si>
    <t>FED IMMIGRATION-INCARCERATION</t>
  </si>
  <si>
    <t>5991</t>
  </si>
  <si>
    <t>VIOLENT OFFENDER</t>
  </si>
  <si>
    <t>6000</t>
  </si>
  <si>
    <t>6010</t>
  </si>
  <si>
    <t>K-12 EDUCATION</t>
  </si>
  <si>
    <t>6020</t>
  </si>
  <si>
    <t>HIGHER EDUCATION</t>
  </si>
  <si>
    <t>6050</t>
  </si>
  <si>
    <t>DEPARTMENT OF EDUCATION</t>
  </si>
  <si>
    <t>08/19/1986</t>
  </si>
  <si>
    <t>6100</t>
  </si>
  <si>
    <t>6110</t>
  </si>
  <si>
    <t>DEPT. OF EDUCATION HD QTRS</t>
  </si>
  <si>
    <t>6120</t>
  </si>
  <si>
    <t>STATE LIBRARY</t>
  </si>
  <si>
    <t>6125</t>
  </si>
  <si>
    <t>ED-AUDIT-APPLS</t>
  </si>
  <si>
    <t>08/15/2003</t>
  </si>
  <si>
    <t>6190</t>
  </si>
  <si>
    <t>SPECIAL SCHOOLS</t>
  </si>
  <si>
    <t>6200</t>
  </si>
  <si>
    <t>CALIF SCHOOL FOR THE BLIND</t>
  </si>
  <si>
    <t>6210</t>
  </si>
  <si>
    <t>DIAGN SCH-NEUR HND CHIL-NO CAL</t>
  </si>
  <si>
    <t>6220</t>
  </si>
  <si>
    <t>DIAGN SCH NEUR HND CHIL CT CA</t>
  </si>
  <si>
    <t>6230</t>
  </si>
  <si>
    <t>DIAGN SCH-NEUR HND CHIL-SO CAL</t>
  </si>
  <si>
    <t>6240</t>
  </si>
  <si>
    <t>SCHOOL FOR THE DEAF, FREMONT</t>
  </si>
  <si>
    <t>6250</t>
  </si>
  <si>
    <t>SCHOOL FOR THE DEAF,RIVERSIDE</t>
  </si>
  <si>
    <t>6255</t>
  </si>
  <si>
    <t>CALIF STATE SUMMER SCHOOL FOR</t>
  </si>
  <si>
    <t>6260</t>
  </si>
  <si>
    <t>DIAGNOSTIC CENTERS</t>
  </si>
  <si>
    <t>08/03/1998</t>
  </si>
  <si>
    <t>6300</t>
  </si>
  <si>
    <t>CONTRIB TO ST TEARCHR RET FUND</t>
  </si>
  <si>
    <t>6320</t>
  </si>
  <si>
    <t>CA ST COUNCIL ON VOCATNL EDUC</t>
  </si>
  <si>
    <t>6330</t>
  </si>
  <si>
    <t>CA CAREER RESOURCE NETWORK</t>
  </si>
  <si>
    <t>6350</t>
  </si>
  <si>
    <t>SCHOOL FACILITIES AID PROGRAM</t>
  </si>
  <si>
    <t>6360</t>
  </si>
  <si>
    <t>COMM TEACHER CREDENTIALING</t>
  </si>
  <si>
    <t>6380</t>
  </si>
  <si>
    <t>DEBT SERV ON PUB SCHL BLDG</t>
  </si>
  <si>
    <t>6420</t>
  </si>
  <si>
    <t>CA POSTSECONDARY EDUC COMM</t>
  </si>
  <si>
    <t>6425</t>
  </si>
  <si>
    <t>COMM REVIEW MASTR PLAN-HIGH ED</t>
  </si>
  <si>
    <t>6440</t>
  </si>
  <si>
    <t>UNIVERSITY OF CALIFORNIA</t>
  </si>
  <si>
    <t>6445</t>
  </si>
  <si>
    <t>CA INSTITUTE REGENERATIVE MED</t>
  </si>
  <si>
    <t>10/28/2005</t>
  </si>
  <si>
    <t>6600</t>
  </si>
  <si>
    <t>HASTINGS COLLEGE OF LAW</t>
  </si>
  <si>
    <t>6610</t>
  </si>
  <si>
    <t>TOTAL CALIF STATE UNIVERSITIES</t>
  </si>
  <si>
    <t>6620</t>
  </si>
  <si>
    <t>CSU STATE WIDE PROGRAMS</t>
  </si>
  <si>
    <t>6630</t>
  </si>
  <si>
    <t>CSU SYSTEM WIDE PROGRAMS</t>
  </si>
  <si>
    <t>6640</t>
  </si>
  <si>
    <t>CSU CAMPUSES</t>
  </si>
  <si>
    <t>6645</t>
  </si>
  <si>
    <t>CSU HLTH BENEFITS RETIRED ANNU</t>
  </si>
  <si>
    <t>6650</t>
  </si>
  <si>
    <t>CAL ST COLLEGE BAKERSFIELD</t>
  </si>
  <si>
    <t>6660</t>
  </si>
  <si>
    <t>CAL ST COLL SAN BERNARDINO</t>
  </si>
  <si>
    <t>6670</t>
  </si>
  <si>
    <t>CAL ST COLL STANISLAUS</t>
  </si>
  <si>
    <t>6680</t>
  </si>
  <si>
    <t>CAL ST UNIV CHICO</t>
  </si>
  <si>
    <t>6690</t>
  </si>
  <si>
    <t>CAL ST UNIV DOMINGUEZ HILLS</t>
  </si>
  <si>
    <t>6700</t>
  </si>
  <si>
    <t>CAL ST UNIV FRESNO</t>
  </si>
  <si>
    <t>6710</t>
  </si>
  <si>
    <t>CAL ST UNIV FULLERTON</t>
  </si>
  <si>
    <t>6720</t>
  </si>
  <si>
    <t>CAL ST UNIV EAST BAY</t>
  </si>
  <si>
    <t>6730</t>
  </si>
  <si>
    <t>HUMBOLDT STATE UNIVERSITY</t>
  </si>
  <si>
    <t>6740</t>
  </si>
  <si>
    <t>CAL ST UNIV LONG BEACH</t>
  </si>
  <si>
    <t>6750</t>
  </si>
  <si>
    <t>CAL ST UNIV LOS ANGELES</t>
  </si>
  <si>
    <t>6752</t>
  </si>
  <si>
    <t>CAL ST UNIV MARITIME ACADEMY</t>
  </si>
  <si>
    <t>6756</t>
  </si>
  <si>
    <t>CAL ST UNIV MONTEREY BAY</t>
  </si>
  <si>
    <t>6760</t>
  </si>
  <si>
    <t>CAL ST UNIV NORTHRIDGE</t>
  </si>
  <si>
    <t>6770</t>
  </si>
  <si>
    <t>CAL ST POLY UNIV POMONA</t>
  </si>
  <si>
    <t>6780</t>
  </si>
  <si>
    <t>CAL ST UNIV SACRAMENTO</t>
  </si>
  <si>
    <t>6790</t>
  </si>
  <si>
    <t>SAN DIEGO STATE UNIVERSITY</t>
  </si>
  <si>
    <t>6800</t>
  </si>
  <si>
    <t>SAN FRANCISCO STATE UNIVERSITY</t>
  </si>
  <si>
    <t>6810</t>
  </si>
  <si>
    <t>SAN JOSE STATE UNIVERSITY</t>
  </si>
  <si>
    <t>6820</t>
  </si>
  <si>
    <t>CAL POLY ST UNIVERSITY SLO</t>
  </si>
  <si>
    <t>6830</t>
  </si>
  <si>
    <t>SONOMA STATE UNIVERSITY</t>
  </si>
  <si>
    <t>6840</t>
  </si>
  <si>
    <t>CA STATE UNIV., SAN MARCOS</t>
  </si>
  <si>
    <t>6850</t>
  </si>
  <si>
    <t>CAL ST UNIV CHANNEL ISLANDS</t>
  </si>
  <si>
    <t>6860</t>
  </si>
  <si>
    <t>CALIFORNIA MARITIME ACADEMY</t>
  </si>
  <si>
    <t>6870</t>
  </si>
  <si>
    <t>BD OF GOVS-COMMUNITY COLLEGES</t>
  </si>
  <si>
    <t>6880</t>
  </si>
  <si>
    <t>COUNC.FOR PR.POSTSECOND.&amp;VO.ED</t>
  </si>
  <si>
    <t>6910</t>
  </si>
  <si>
    <t>AWARDS FOR INNOVATION HIGHR ED</t>
  </si>
  <si>
    <t>6980</t>
  </si>
  <si>
    <t>CA STUDENT AID COMMISSION</t>
  </si>
  <si>
    <t>7000</t>
  </si>
  <si>
    <t>LABOR AND WORKFORCE DEVELOPM</t>
  </si>
  <si>
    <t>7020</t>
  </si>
  <si>
    <t>LABOR &amp; WORKFORCE DVLPMNT, SEC</t>
  </si>
  <si>
    <t>7100</t>
  </si>
  <si>
    <t>EMPLOYMENT-DEVELOPMENT-DEPT</t>
  </si>
  <si>
    <t>7120</t>
  </si>
  <si>
    <t>CA WORKFORCE INVESTMENT BOARD</t>
  </si>
  <si>
    <t>7300</t>
  </si>
  <si>
    <t>AGRICULTURL-LABOR-RELATION-BD</t>
  </si>
  <si>
    <t>7320</t>
  </si>
  <si>
    <t>PUB EMPLOYMENT RELATIONS</t>
  </si>
  <si>
    <t>7350</t>
  </si>
  <si>
    <t>DEPT-OF-INDUSTRIAL-RELATIONS</t>
  </si>
  <si>
    <t>7501</t>
  </si>
  <si>
    <t>DEPT OF HUMAN RESOURCES</t>
  </si>
  <si>
    <t>7502</t>
  </si>
  <si>
    <t>DEPARTMENT OF TECHNOLOGY</t>
  </si>
  <si>
    <t>7503</t>
  </si>
  <si>
    <t>7600</t>
  </si>
  <si>
    <t>DEPT OF TAX &amp; FEE ADMINISTRATN</t>
  </si>
  <si>
    <t>7730</t>
  </si>
  <si>
    <t>FRANCHISE TAX BOARD</t>
  </si>
  <si>
    <t>7760</t>
  </si>
  <si>
    <t>DEPARTMENT OF GENERAL SERVICES</t>
  </si>
  <si>
    <t>7870</t>
  </si>
  <si>
    <t>CA VICTIM COMP/GOVT CLMS BD</t>
  </si>
  <si>
    <t>7900</t>
  </si>
  <si>
    <t>PUBLIC EMPLOYEES RETIREMENT SY</t>
  </si>
  <si>
    <t>7910</t>
  </si>
  <si>
    <t>OFFICE OF ADMINISTRATIVE LAW</t>
  </si>
  <si>
    <t>7920</t>
  </si>
  <si>
    <t>TEACHERS RETIREMENT SYSTEM</t>
  </si>
  <si>
    <t>8000</t>
  </si>
  <si>
    <t>OTHER GOVERNMENTAL UNITS</t>
  </si>
  <si>
    <t>8010</t>
  </si>
  <si>
    <t>CIVIL/CRIMINAL JUSTICE</t>
  </si>
  <si>
    <t>8100</t>
  </si>
  <si>
    <t>OFFICE OF CRIMINAL JUST PLAN</t>
  </si>
  <si>
    <t>8103</t>
  </si>
  <si>
    <t>BD OF VICTIM'S ASSISTANCE</t>
  </si>
  <si>
    <t>8105</t>
  </si>
  <si>
    <t>COMM FOR REVISION OF JUVENILE</t>
  </si>
  <si>
    <t>09/14/2006</t>
  </si>
  <si>
    <t>8120</t>
  </si>
  <si>
    <t>COMM ON PEACE OFF STD &amp; TRNG</t>
  </si>
  <si>
    <t>8140</t>
  </si>
  <si>
    <t>OFFICE OF STATE PUBLIC DEF</t>
  </si>
  <si>
    <t>8160</t>
  </si>
  <si>
    <t>ASST TO CO FOR DEF OF INDIGENT</t>
  </si>
  <si>
    <t>8170</t>
  </si>
  <si>
    <t>SUBV FOR GRDSHP/CONSHP PROCEED</t>
  </si>
  <si>
    <t>8180</t>
  </si>
  <si>
    <t>PAY TO CO FOR COSTS OF HOM TRI</t>
  </si>
  <si>
    <t>8190</t>
  </si>
  <si>
    <t>ADMIN AND PAY OF TORT LIAB CLM</t>
  </si>
  <si>
    <t>8200</t>
  </si>
  <si>
    <t>CA COMM FOR ECONOMIC DEV</t>
  </si>
  <si>
    <t>8225</t>
  </si>
  <si>
    <t>CAL ENTERTAINMENT COMMISSION</t>
  </si>
  <si>
    <t>8255</t>
  </si>
  <si>
    <t>CAL BICENTENNIAL COMMISSION</t>
  </si>
  <si>
    <t>8260</t>
  </si>
  <si>
    <t>ARTS COUNCIL</t>
  </si>
  <si>
    <t>8280</t>
  </si>
  <si>
    <t>8290</t>
  </si>
  <si>
    <t>CALIF PUBLIC BROADCASTING COMM</t>
  </si>
  <si>
    <t>8300</t>
  </si>
  <si>
    <t>AGRICULTURAL LABOR RELATNS BD</t>
  </si>
  <si>
    <t>8350</t>
  </si>
  <si>
    <t>DEPT OF INDUSTRIAL RELATIONS</t>
  </si>
  <si>
    <t>8360</t>
  </si>
  <si>
    <t>INDUSTRIAL RELUNPAID WAGE FD</t>
  </si>
  <si>
    <t>8370</t>
  </si>
  <si>
    <t>UNINSURED EMPLOYERS FD</t>
  </si>
  <si>
    <t>8385</t>
  </si>
  <si>
    <t>CA CITIZEN COMPENSATION COMM</t>
  </si>
  <si>
    <t>8420</t>
  </si>
  <si>
    <t>WORKERS COMPENSATION BENEFITS</t>
  </si>
  <si>
    <t>8430</t>
  </si>
  <si>
    <t>COMPENSATION INSURANCE FUND</t>
  </si>
  <si>
    <t>8450</t>
  </si>
  <si>
    <t>SUBSEQUENT INJURIES</t>
  </si>
  <si>
    <t>8460</t>
  </si>
  <si>
    <t>DISASTER SERVICE WORKERS</t>
  </si>
  <si>
    <t>8510</t>
  </si>
  <si>
    <t>BOARD OF OSTEOPATHIC EXAMINERS</t>
  </si>
  <si>
    <t>8530</t>
  </si>
  <si>
    <t>8540</t>
  </si>
  <si>
    <t>CAL AUCTIONEER COMMISSION</t>
  </si>
  <si>
    <t>8560</t>
  </si>
  <si>
    <t>CALIF EXPOSITION AND FAIRS</t>
  </si>
  <si>
    <t>8570</t>
  </si>
  <si>
    <t>DEPT OF FOOD AND AGRICULTURE</t>
  </si>
  <si>
    <t>8590</t>
  </si>
  <si>
    <t>FINANCIAL ASSIST TO LOCAL FAIR</t>
  </si>
  <si>
    <t>8600</t>
  </si>
  <si>
    <t>COUNTY FAIRS</t>
  </si>
  <si>
    <t>8610</t>
  </si>
  <si>
    <t>DISTRICT AGRICULTURAL ASSNS</t>
  </si>
  <si>
    <t>8620</t>
  </si>
  <si>
    <t>FAIR POLITICAL PRACTICES COMM</t>
  </si>
  <si>
    <t>8640</t>
  </si>
  <si>
    <t>POLITICAL REFORM ACT OF 1974</t>
  </si>
  <si>
    <t>8655</t>
  </si>
  <si>
    <t>INDEP.CITIZENS REDIST.COMM.</t>
  </si>
  <si>
    <t>04/26/1991</t>
  </si>
  <si>
    <t>8660</t>
  </si>
  <si>
    <t>PUBLIC UTILITIES COMMISSION</t>
  </si>
  <si>
    <t>8665</t>
  </si>
  <si>
    <t>CONSUMER POWER &amp; CONSERVN</t>
  </si>
  <si>
    <t>10/25/2002</t>
  </si>
  <si>
    <t>8680</t>
  </si>
  <si>
    <t>STATE BAR OF CALIFORNIA</t>
  </si>
  <si>
    <t>8690</t>
  </si>
  <si>
    <t>SEISMIC COMMISSION</t>
  </si>
  <si>
    <t>8700</t>
  </si>
  <si>
    <t>BOARD OF CONTROL</t>
  </si>
  <si>
    <t>8720</t>
  </si>
  <si>
    <t>INDEMNIFICATN OF PVT CITIZENS</t>
  </si>
  <si>
    <t>8730</t>
  </si>
  <si>
    <t>COMMISSION ON STATE FINANCE</t>
  </si>
  <si>
    <t>8740</t>
  </si>
  <si>
    <t>CALIF INFORMATION SYS IMPL COM</t>
  </si>
  <si>
    <t>8750</t>
  </si>
  <si>
    <t>COMMISSION ON LOCAL GOVERANCE</t>
  </si>
  <si>
    <t>08/07/1998</t>
  </si>
  <si>
    <t>8760</t>
  </si>
  <si>
    <t>COMMISSION OF THE CALIFORNIAS</t>
  </si>
  <si>
    <t>8770</t>
  </si>
  <si>
    <t>ELECTRICITY OVERSIGH BOARD</t>
  </si>
  <si>
    <t>8780</t>
  </si>
  <si>
    <t>COMM ON CAL GOVT ORG &amp; ECONOMY</t>
  </si>
  <si>
    <t>8790</t>
  </si>
  <si>
    <t>DISABILITY ACCESS COMMISSION</t>
  </si>
  <si>
    <t>8800</t>
  </si>
  <si>
    <t>MEMBERSHIP/COUNCIL/STATE GOVT</t>
  </si>
  <si>
    <t>8810</t>
  </si>
  <si>
    <t>RETAIL CREDIT ADVISORY COMM</t>
  </si>
  <si>
    <t>8820</t>
  </si>
  <si>
    <t>COMMISSION ON STATUS OF WOMEN</t>
  </si>
  <si>
    <t>8825</t>
  </si>
  <si>
    <t>ASIAN/PACIFIC ISLANDER AMER AF</t>
  </si>
  <si>
    <t>8830</t>
  </si>
  <si>
    <t>CAL LAW REVISION COMMISSION</t>
  </si>
  <si>
    <t>8850</t>
  </si>
  <si>
    <t>PUBLIC WORKS BOARD</t>
  </si>
  <si>
    <t>8855</t>
  </si>
  <si>
    <t>BUREAU OF STATE AUDITS</t>
  </si>
  <si>
    <t>8860</t>
  </si>
  <si>
    <t>DEPT OF FINANCE</t>
  </si>
  <si>
    <t>8870</t>
  </si>
  <si>
    <t>DEPT OF FINANCE - OPERATIONS</t>
  </si>
  <si>
    <t>8880</t>
  </si>
  <si>
    <t>FINANCIAL INFO SYSTEM FOR CA</t>
  </si>
  <si>
    <t>8882</t>
  </si>
  <si>
    <t>CALIF CONSTITUTION REVISION CO</t>
  </si>
  <si>
    <t>12/28/1994</t>
  </si>
  <si>
    <t>8885</t>
  </si>
  <si>
    <t>COMM ON STATE MANDATES</t>
  </si>
  <si>
    <t>8915</t>
  </si>
  <si>
    <t>8940</t>
  </si>
  <si>
    <t>MILITARY DEPARTMENT</t>
  </si>
  <si>
    <t>8950</t>
  </si>
  <si>
    <t>DEPT OF VETERANS AFFAIRS</t>
  </si>
  <si>
    <t>8955</t>
  </si>
  <si>
    <t>8960</t>
  </si>
  <si>
    <t>VETS HOME - YOUNTVILLE</t>
  </si>
  <si>
    <t>8965</t>
  </si>
  <si>
    <t>VETS HOME - BARSTOW</t>
  </si>
  <si>
    <t>8966</t>
  </si>
  <si>
    <t>VETERAN'S HOME OF CA-CHULA VIS</t>
  </si>
  <si>
    <t>8967</t>
  </si>
  <si>
    <t>VETERANS HOME OF CA-GLAVC</t>
  </si>
  <si>
    <t>8970</t>
  </si>
  <si>
    <t>VIETNAM VETS MEMORIAL COMM</t>
  </si>
  <si>
    <t>8975</t>
  </si>
  <si>
    <t>VETERANS MEMORIAL COMMISSION</t>
  </si>
  <si>
    <t>9010</t>
  </si>
  <si>
    <t>TAX RELIEF</t>
  </si>
  <si>
    <t>9020</t>
  </si>
  <si>
    <t>REVENUE DISTRIBUTION</t>
  </si>
  <si>
    <t>DEBT SERVICE</t>
  </si>
  <si>
    <t>9035</t>
  </si>
  <si>
    <t>STATEWIDE DISTRIBUTED COSTS</t>
  </si>
  <si>
    <t>06/13/1988</t>
  </si>
  <si>
    <t>9040</t>
  </si>
  <si>
    <t>UNCLASSIFIED</t>
  </si>
  <si>
    <t>9050</t>
  </si>
  <si>
    <t>UNALLOCATED</t>
  </si>
  <si>
    <t>9060</t>
  </si>
  <si>
    <t>SAVINGS</t>
  </si>
  <si>
    <t>9100</t>
  </si>
  <si>
    <t>GENERAL TAX RELIEF</t>
  </si>
  <si>
    <t>01/22/2010</t>
  </si>
  <si>
    <t>9110</t>
  </si>
  <si>
    <t>SENIOR CITIZENS PROP TAX ASSIS</t>
  </si>
  <si>
    <t>9120</t>
  </si>
  <si>
    <t>SENIOR CITIZENS PROP TAX DEFER</t>
  </si>
  <si>
    <t>9130</t>
  </si>
  <si>
    <t>SENIOR CITIZENS RENT TAX ASSIS</t>
  </si>
  <si>
    <t>9140</t>
  </si>
  <si>
    <t>PERSONAL PROPERTY TAX RELIEF</t>
  </si>
  <si>
    <t>9150</t>
  </si>
  <si>
    <t>HOMEOWNERS PROP TAX RELIEF</t>
  </si>
  <si>
    <t>9160</t>
  </si>
  <si>
    <t>SUBVENTIONS FOR OPEN SPACE</t>
  </si>
  <si>
    <t>9170</t>
  </si>
  <si>
    <t>PAY LOC GOV SA/PR TAX REV LOSS</t>
  </si>
  <si>
    <t>9180</t>
  </si>
  <si>
    <t>RENTERS TAX RELIEF</t>
  </si>
  <si>
    <t>9190</t>
  </si>
  <si>
    <t>SUBSTANDARD HOUSING</t>
  </si>
  <si>
    <t>9200</t>
  </si>
  <si>
    <t>ALTERN ENERGY TAX CR REFUND</t>
  </si>
  <si>
    <t>9210</t>
  </si>
  <si>
    <t>PROP 13 FISCAL RELIEF LOC GOVT</t>
  </si>
  <si>
    <t>9285</t>
  </si>
  <si>
    <t>TRIAL COURT SECURITY</t>
  </si>
  <si>
    <t>08/12/2015</t>
  </si>
  <si>
    <t>9286</t>
  </si>
  <si>
    <t>TRIAL COURT SECURITY-JUDGESHIP</t>
  </si>
  <si>
    <t>9300</t>
  </si>
  <si>
    <t>PAYMENT TO COUNTIES-HOMICIDE</t>
  </si>
  <si>
    <t>9350</t>
  </si>
  <si>
    <t>SHARED REVENUES</t>
  </si>
  <si>
    <t>9380</t>
  </si>
  <si>
    <t>APPORT OF OFF-HIGHWAY LIC FEES</t>
  </si>
  <si>
    <t>03/05/2009</t>
  </si>
  <si>
    <t>9390</t>
  </si>
  <si>
    <t>APPT FED RCPT FLOOD CTL LANDS</t>
  </si>
  <si>
    <t>9400</t>
  </si>
  <si>
    <t>APPT FED RECPT FR FOREST RESV</t>
  </si>
  <si>
    <t>9410</t>
  </si>
  <si>
    <t>APPT OF FED RCPT GRAZING LAND</t>
  </si>
  <si>
    <t>9420</t>
  </si>
  <si>
    <t>APPT FED POTASH LEASE RENTALS</t>
  </si>
  <si>
    <t>9430</t>
  </si>
  <si>
    <t>APPT OF MTR VEH LICENSE FEES</t>
  </si>
  <si>
    <t>9440</t>
  </si>
  <si>
    <t>APPT OF CIGARETTE TAX</t>
  </si>
  <si>
    <t>9460</t>
  </si>
  <si>
    <t>APPT OF TIDELAND REVENUES</t>
  </si>
  <si>
    <t>9480</t>
  </si>
  <si>
    <t>APPT FOR COUNTY ROADS</t>
  </si>
  <si>
    <t>9490</t>
  </si>
  <si>
    <t>APPORT FOR CITY STREETS</t>
  </si>
  <si>
    <t>9500</t>
  </si>
  <si>
    <t>APPT COUNTY ROADS/CITY STREETS</t>
  </si>
  <si>
    <t>9505</t>
  </si>
  <si>
    <t>APPT FOR STREETS AND HIGHWAY</t>
  </si>
  <si>
    <t>9515</t>
  </si>
  <si>
    <t>APPT LOCAL AGENCY REIMB</t>
  </si>
  <si>
    <t>9520</t>
  </si>
  <si>
    <t>APPT OF GEOTHERMAL RESOURCES</t>
  </si>
  <si>
    <t>9535</t>
  </si>
  <si>
    <t>APPORTIONMENT OF LOCAL</t>
  </si>
  <si>
    <t>9540</t>
  </si>
  <si>
    <t>FEDERAL REVENUE SHARING</t>
  </si>
  <si>
    <t>9590</t>
  </si>
  <si>
    <t>PAYMENT OF PMIA INTEREST</t>
  </si>
  <si>
    <t>DEBT SERVICE INT &amp; FISCAL CHGS</t>
  </si>
  <si>
    <t>11/06/1993</t>
  </si>
  <si>
    <t>GO BOND &amp; COMM PAP DEBT SVC</t>
  </si>
  <si>
    <t>0847</t>
  </si>
  <si>
    <t>9610</t>
  </si>
  <si>
    <t>LEASE-REV NOTES &amp; BONDS</t>
  </si>
  <si>
    <t>9612</t>
  </si>
  <si>
    <t>ENHN TOBAC ASSET-BACKED BND</t>
  </si>
  <si>
    <t>WHEN TOBACCO REVENUE IS SHORT</t>
  </si>
  <si>
    <t>9613</t>
  </si>
  <si>
    <t>UNENHANCED TOBACCO BD PROCEEDS</t>
  </si>
  <si>
    <t>02/26/2008</t>
  </si>
  <si>
    <t>9618</t>
  </si>
  <si>
    <t>ECONOMIC RECOVERY FINANCE COMM</t>
  </si>
  <si>
    <t>9620</t>
  </si>
  <si>
    <t>CASH MGMT &amp; BUDGETARY LOANS</t>
  </si>
  <si>
    <t>9625</t>
  </si>
  <si>
    <t>INT PYMTS TO FEDERAL GOVT</t>
  </si>
  <si>
    <t>0846</t>
  </si>
  <si>
    <t>9632</t>
  </si>
  <si>
    <t>9634</t>
  </si>
  <si>
    <t>9636</t>
  </si>
  <si>
    <t>MISCELLANEOUS ADJUSTMENTS</t>
  </si>
  <si>
    <t>9650</t>
  </si>
  <si>
    <t>HEALTH BENEFITS FOR ANNUITANTS</t>
  </si>
  <si>
    <t>9651</t>
  </si>
  <si>
    <t>PREFUND HEALTH &amp; DENTAL BEN</t>
  </si>
  <si>
    <t>9658</t>
  </si>
  <si>
    <t>BUDGET STABILIZATION ACCOUNT</t>
  </si>
  <si>
    <t>9670</t>
  </si>
  <si>
    <t>LEGISLATIVE CLAIMS</t>
  </si>
  <si>
    <t>9671</t>
  </si>
  <si>
    <t>EQUITY CLAIMS OF BD OF CONTROL</t>
  </si>
  <si>
    <t>03/30/1994</t>
  </si>
  <si>
    <t>9672</t>
  </si>
  <si>
    <t>SETTLEMENTS &amp; JUDGEMENTS DOJ</t>
  </si>
  <si>
    <t>9673</t>
  </si>
  <si>
    <t>S.F.-OAKLAND BAY BR.&amp;I-880</t>
  </si>
  <si>
    <t>9675</t>
  </si>
  <si>
    <t>CONSTRUCTN REPAIR-LOCAL ST&amp;RD</t>
  </si>
  <si>
    <t>9680</t>
  </si>
  <si>
    <t>STATE MANDATED LOCAL PROGRAMS</t>
  </si>
  <si>
    <t>9690</t>
  </si>
  <si>
    <t>REFUNDS OF TAX, LIC, OTHER FEE</t>
  </si>
  <si>
    <t>9695</t>
  </si>
  <si>
    <t>UNIVERSAL TELEPHONE SERVICE</t>
  </si>
  <si>
    <t>06/23/1987</t>
  </si>
  <si>
    <t>01/01/1989</t>
  </si>
  <si>
    <t>9720</t>
  </si>
  <si>
    <t>WORKING CAPITAL ADVANCES</t>
  </si>
  <si>
    <t>9730</t>
  </si>
  <si>
    <t>ST CLEAN WTR GRANTS REVLVG FD</t>
  </si>
  <si>
    <t>9740</t>
  </si>
  <si>
    <t>COOP PERSONNEL SERV REVLVNG FD</t>
  </si>
  <si>
    <t>9750</t>
  </si>
  <si>
    <t>COUNTY FORMATION REVOLVING FD</t>
  </si>
  <si>
    <t>9790</t>
  </si>
  <si>
    <t>AUGM MED FRUIT FLY ERAD PROG</t>
  </si>
  <si>
    <t>9800</t>
  </si>
  <si>
    <t>AUGMENTATION/EMP COMPENSATION</t>
  </si>
  <si>
    <t>9801</t>
  </si>
  <si>
    <t>REDUCTION FOR EMPLOYEE COMP</t>
  </si>
  <si>
    <t>9802</t>
  </si>
  <si>
    <t>JUNE TO JULY PAYROLL DEFERRAL</t>
  </si>
  <si>
    <t>0802</t>
  </si>
  <si>
    <t>DEFERRED PAYROLL ADJUST</t>
  </si>
  <si>
    <t>9810</t>
  </si>
  <si>
    <t>UNALLOCATED ATTORNEY FEES</t>
  </si>
  <si>
    <t>9818</t>
  </si>
  <si>
    <t>FEDERAL LEVY OF STATE FUNDS</t>
  </si>
  <si>
    <t>12/16/1988</t>
  </si>
  <si>
    <t>9820</t>
  </si>
  <si>
    <t>AUGMENTATION PRICE INCREASES</t>
  </si>
  <si>
    <t>9840</t>
  </si>
  <si>
    <t>RESV FOR CONTINGENCIES/EMERG</t>
  </si>
  <si>
    <t>9850</t>
  </si>
  <si>
    <t>LOANS-CONTINGENCY/EMERGENCY</t>
  </si>
  <si>
    <t>9855</t>
  </si>
  <si>
    <t>LEGISLATIVE INITIATIVES</t>
  </si>
  <si>
    <t>04/06/1984</t>
  </si>
  <si>
    <t>9860</t>
  </si>
  <si>
    <t>UNALLOCATED CAPITAL OUTLAY</t>
  </si>
  <si>
    <t>9865</t>
  </si>
  <si>
    <t>PAYMT OF ARCH ENGINEERNG COST</t>
  </si>
  <si>
    <t>9875</t>
  </si>
  <si>
    <t>GEN FND DEFICIT RECOVERY PMTS</t>
  </si>
  <si>
    <t>11/02/2004</t>
  </si>
  <si>
    <t>9880</t>
  </si>
  <si>
    <t>AUGM OFFICE OF ADMIN LAW SERV</t>
  </si>
  <si>
    <t>9885</t>
  </si>
  <si>
    <t>RESERVE FOR ENCUMBRANCE</t>
  </si>
  <si>
    <t>01/23/1991</t>
  </si>
  <si>
    <t>9889</t>
  </si>
  <si>
    <t>PUBLIC SCHOOL SYSTEM STABILIZA</t>
  </si>
  <si>
    <t>PUBLIC SCHOOL SYSTEM</t>
  </si>
  <si>
    <t>STABILIZATION ACCOUNT</t>
  </si>
  <si>
    <t>04/01/2020</t>
  </si>
  <si>
    <t>9890</t>
  </si>
  <si>
    <t>RES FOR ECONOMIC UNCERTAINTIES</t>
  </si>
  <si>
    <t>9891</t>
  </si>
  <si>
    <t>DEPT OF HEALTH HUMAN SERVICES</t>
  </si>
  <si>
    <t>9892</t>
  </si>
  <si>
    <t>SUPPLEMENTAL PENSION PAYMENTS</t>
  </si>
  <si>
    <t>0843</t>
  </si>
  <si>
    <t>INT. ON INTERFUND LOANS</t>
  </si>
  <si>
    <t>11/22/2019</t>
  </si>
  <si>
    <t>9895</t>
  </si>
  <si>
    <t>PETROLEUM VIOLATION ESCROW PRO</t>
  </si>
  <si>
    <t>9896</t>
  </si>
  <si>
    <t>OUTER CONT SHELF LAND ACT</t>
  </si>
  <si>
    <t>9898</t>
  </si>
  <si>
    <t>PERS GENERAL FUND PAYMENT</t>
  </si>
  <si>
    <t>11/04/1998</t>
  </si>
  <si>
    <t>9900</t>
  </si>
  <si>
    <t>GEN FD CREDITS FROM SPEC FUNDS</t>
  </si>
  <si>
    <t>9901</t>
  </si>
  <si>
    <t>STATEWIDE GEN ADM EXP (PR)</t>
  </si>
  <si>
    <t>9909</t>
  </si>
  <si>
    <t>HLTH INS PORTABLTY ACCTABLTY</t>
  </si>
  <si>
    <t>9910</t>
  </si>
  <si>
    <t>GEN FD CREDITS FROM FED FUNDS</t>
  </si>
  <si>
    <t>9920</t>
  </si>
  <si>
    <t>MANDATED REDUCTIONS</t>
  </si>
  <si>
    <t>9930</t>
  </si>
  <si>
    <t>PERS RATE REDUCTION-SEC. 3.60</t>
  </si>
  <si>
    <t>9935</t>
  </si>
  <si>
    <t>VARIOUS RETIREMENT SAV PROPSL</t>
  </si>
  <si>
    <t>9936</t>
  </si>
  <si>
    <t>PERS-SURPLUS ASSET SAVINGS</t>
  </si>
  <si>
    <t>9942</t>
  </si>
  <si>
    <t>EST. BOND FUND APPROP ADJ.</t>
  </si>
  <si>
    <t>10/17/1988</t>
  </si>
  <si>
    <t>9990</t>
  </si>
  <si>
    <t>MISCELLANEOUS</t>
  </si>
  <si>
    <t>9998</t>
  </si>
  <si>
    <t>CONTROL SEC FOR BUDGET</t>
  </si>
  <si>
    <t>9999</t>
  </si>
  <si>
    <t>CONTROLLER'S USE-MEMO ENTRIES</t>
  </si>
  <si>
    <t>09/13/2002</t>
  </si>
  <si>
    <t>Please select fund type above.</t>
  </si>
  <si>
    <t>General government</t>
  </si>
  <si>
    <t>Cr: Acct 0808 - GENERAL GOV. (GAAP ADJ)</t>
  </si>
  <si>
    <t>Education</t>
  </si>
  <si>
    <t>Cr: Acct 0810 - EDUCATION EXP (GAAP ADJ)</t>
  </si>
  <si>
    <t>Health and human services</t>
  </si>
  <si>
    <t>Resources</t>
  </si>
  <si>
    <t>Cr: Acct 0820 - NAT RES &amp; ENVIRON (GAAP ADJ)</t>
  </si>
  <si>
    <t>Cr: Acct 0825 - BUS, CONSUMER SERV, HOUSING</t>
  </si>
  <si>
    <t>Transportation</t>
  </si>
  <si>
    <t>Cr: Acct 0830 - TRANSPORTATION (GAAP ADJ)</t>
  </si>
  <si>
    <t>Cr: Acct 0835 - CORRECTIONS AND REHABILITATION</t>
  </si>
  <si>
    <t>Proprietary fund</t>
  </si>
  <si>
    <t>Cr: Acct 0870 - SERVICES &amp; CHARGES (MG ADJ)</t>
  </si>
  <si>
    <t>Unidentified</t>
  </si>
  <si>
    <t>Cr: Acct 0XXX - FUNCTIONAL EXPENSE</t>
  </si>
  <si>
    <t>Functional Expense:</t>
  </si>
  <si>
    <t>Organization Code (4-Digits):</t>
  </si>
  <si>
    <t>Fund Type:</t>
  </si>
  <si>
    <t>Dr: Acct 0695 - OTHER NONCURRENT LIABILITIES</t>
  </si>
  <si>
    <t>Dr: Acct 0808 - GENERAL GOV. (GAAP ADJ)</t>
  </si>
  <si>
    <t>Dr: Acct 0810 - EDUCATION EXP (GAAP ADJ)</t>
  </si>
  <si>
    <t>Dr: Acct 0820 - NAT RES &amp; ENVIRON (GAAP ADJ)</t>
  </si>
  <si>
    <t>Dr: Acct 0825 - BUS, CONSUMER SERV, HOUSING</t>
  </si>
  <si>
    <t>Dr: Acct 0830 - TRANSPORTATION (GAAP ADJ)</t>
  </si>
  <si>
    <t>Dr: Acct 0835 - CORRECTIONS AND REHABILITATION</t>
  </si>
  <si>
    <t>Dr: Acct 0870 - SERVICES &amp; CHARGES (MG ADJ)</t>
  </si>
  <si>
    <t>Dr: Acct 0XXX - FUNCTIONAL EXPENSE</t>
  </si>
  <si>
    <t>Lease Remeasurement and Modifications (only if a significant modification occurred during the fiscal year)</t>
  </si>
  <si>
    <t>Cr: Acct 0778 - RENT</t>
  </si>
  <si>
    <t>Dr: Acct 0842 - CAPITAL OUTLAY (GAAP ADJ)</t>
  </si>
  <si>
    <t>Dr: Acct 0778 - RENT</t>
  </si>
  <si>
    <t>Dr: Acct 0775 - OTHER INCOME</t>
  </si>
  <si>
    <t>Cr: Acct 0775 - OTHER INCOME</t>
  </si>
  <si>
    <t>Totals</t>
  </si>
  <si>
    <t>NOTE: If multiple funds are included in this workbook, manually complete every yellow field by consolidating the entries by fund type (Governmental, Proprietary ISF, and Proprietary EF).</t>
  </si>
  <si>
    <t>Roll prior year ending balance to record opening balance of lease receivable and deferred inflow of resources.</t>
  </si>
  <si>
    <t>Record receivable and related deferred inflow at inception of lease.</t>
  </si>
  <si>
    <t>Record receipt of lease payments as reduction of lease receivable and recognize interest revenue.</t>
  </si>
  <si>
    <t>Record straight-line recognition of revenue.</t>
  </si>
  <si>
    <t>From SCO BB List</t>
  </si>
  <si>
    <t>Difference</t>
  </si>
  <si>
    <t>Roll forward prior year right-to-use leases to record opening balances.</t>
  </si>
  <si>
    <t>Combined FP Templates</t>
  </si>
  <si>
    <t>Combined Lessor Templates</t>
  </si>
  <si>
    <t>Combined Lessee Templates</t>
  </si>
  <si>
    <t>GASB Statement No. 87 Lessors</t>
  </si>
  <si>
    <t>The purpose of this workbook is to check the figures entered in the journal entries reconcile to the future principal receipts disclosed and the changes in the schedule of the lease receivable.</t>
  </si>
  <si>
    <t>1. To reconcile the journal entries of Lease Receivable with the principal receipts in Note Disclosure.</t>
  </si>
  <si>
    <t>Sum Principal Receipts</t>
  </si>
  <si>
    <t>2. To match the journal entry to the principal amount due receivable in the next fiscal year in Note Disclosure.</t>
  </si>
  <si>
    <t>Entry #1</t>
  </si>
  <si>
    <t>Entry #2</t>
  </si>
  <si>
    <t>Entry #5</t>
  </si>
  <si>
    <t>Entry #4</t>
  </si>
  <si>
    <t>Fund Number (4-Digits):</t>
  </si>
  <si>
    <t>Organization Code (4-Digit):</t>
  </si>
  <si>
    <t>Fund Number (4-Digit):</t>
  </si>
  <si>
    <t>(Entry #0)</t>
  </si>
  <si>
    <t>(Entry #7)</t>
  </si>
  <si>
    <t>*Rpt 18</t>
  </si>
  <si>
    <t>* THESE ASSET AMOUNTS SHOULD BE REPORTED AS BEGINNING BALANCES ON REPORT 18.</t>
  </si>
  <si>
    <t>* THESE AMOUNTS SHOULD BE INCLUDED AS "ADDITIONS" ON REPORT 18.</t>
  </si>
  <si>
    <t>* THESE AMOUNTS SHOULD BE INCLUDED AS "DEDUCTIONS" ON REPORT 18.</t>
  </si>
  <si>
    <t>Beginning Balance</t>
  </si>
  <si>
    <t>Deductions (Mod)</t>
  </si>
  <si>
    <t>Additions (Mod)</t>
  </si>
  <si>
    <t>Due within one year</t>
  </si>
  <si>
    <t>**LS LL/CF</t>
  </si>
  <si>
    <t>** This amount should be included in the deductions column on the LS-Lease Liability and LS-Check Figures Tabs.</t>
  </si>
  <si>
    <t>** This amount should be included in the due in one year column on the LS-Lease Liability and LS-Check Figures Tabs.</t>
  </si>
  <si>
    <t>** This amount should be included in the additions column on the LS-Lease Liability and LS-Check Figures Tabs.</t>
  </si>
  <si>
    <t>** This amount should be included in the beginning balance column on the LS-Lease Liability and LS-Check Figures Tabs.</t>
  </si>
  <si>
    <t>Acct 0476 - RIGHT-TO-USE LEASED LAND - AMORTIZABLE</t>
  </si>
  <si>
    <t>Acct 0478 - RIGHT-TO-USE LEASED EQUIPMENT - AMORTIZABLE</t>
  </si>
  <si>
    <t>Acct 0477 - RIGHT-TO-USE LEASED BUILDINGS - AMORTIZABLE</t>
  </si>
  <si>
    <t>Acct 0485 - ACCUMULATED AMORTIZATION - RIGHT-TO-USE LEASED LAND</t>
  </si>
  <si>
    <t>Acct 0479 - ACCUMULATED AMORTIZATION - RIGHT-TO-USE LEASED EQUIPMENT</t>
  </si>
  <si>
    <t>Acct 0486 - ACCUMULATED AMORTIZATION - RIGHT-TO-USE LEASED BUILDINGS</t>
  </si>
  <si>
    <t>Acct 0691 - RIGHT-TO-USE LEASE LIABILITY</t>
  </si>
  <si>
    <t>Acct 0649 - RIGHT-TO-USE LEASE LIABILITY (CURRENT PORTION LT)</t>
  </si>
  <si>
    <t>Debit (Credit)</t>
  </si>
  <si>
    <t>Informational - Ending Balances of Assets and Liabilities</t>
  </si>
  <si>
    <t>Informational - Ending Balances of Assets and Deferred Inflows of Resources</t>
  </si>
  <si>
    <t>Acct 0417 - LEASES RECEIVABLE - NONCURRENT</t>
  </si>
  <si>
    <t>Acct 0036 - LEASES RECEIVABLE - CURRENT</t>
  </si>
  <si>
    <t>Acct 0698 - OTHER DEFERRED INFLOWS OF RESOURCES</t>
  </si>
  <si>
    <t>Acct 0446 - LAND AND LAND IMPROVEMENTS</t>
  </si>
  <si>
    <t>Acct 0448 - BUILDINGS AND BUILDING IMPROVEMENTS</t>
  </si>
  <si>
    <t>Acct 0450 - EQUIPMENT</t>
  </si>
  <si>
    <t>Acct 0462 - ACCUMULATED DEPRECIATION - EQUIPMENT</t>
  </si>
  <si>
    <t>Acct 0458 - ACCUMULATED DEPRECIATION - BUILDINGS AND BUILDING IMPROVEMENTS</t>
  </si>
  <si>
    <t>Acct 0695 - OTHER NONCURRENT LIABILITIES</t>
  </si>
  <si>
    <t>Summary of Changes</t>
  </si>
  <si>
    <t>Sheet</t>
  </si>
  <si>
    <t>Feature</t>
  </si>
  <si>
    <t>Description</t>
  </si>
  <si>
    <t>Required Action</t>
  </si>
  <si>
    <t>N/A</t>
  </si>
  <si>
    <t>No action required.</t>
  </si>
  <si>
    <t>LS-Fund #### Journal Entries</t>
  </si>
  <si>
    <t>The GASB 87 Annual Reporting Submission Workbook is required to be updated and submitted every year. See below for the summary of changes between versions.</t>
  </si>
  <si>
    <t>FP-Fund #### Journal Entries</t>
  </si>
  <si>
    <t>FP-Lease Liabilities</t>
  </si>
  <si>
    <t>NOTE: This is an annual accrual. It is to be reversed at the start of the next fiscal year. SCO combines the current and non current amount in Entry #0 to reestablish the beginning balances. No action required.</t>
  </si>
  <si>
    <t>NOTE: This is the annual year-end reclassification of the non-current liability to current. It is to be reversed at the start of the next fiscal year.SCO combines the current and non current amount in Entry #0 to reestablish the beginning balances. No action required.</t>
  </si>
  <si>
    <t>Establish Beginning Balances (existing financed purchases only)</t>
  </si>
  <si>
    <t>Record Annual Activity (all financed purchases)</t>
  </si>
  <si>
    <t>Roll prior year to record opening balances of financed purchase assets and liabilities.</t>
  </si>
  <si>
    <t>Record New Financed Purchases (new financed purchases only)</t>
  </si>
  <si>
    <t>Record financed purchase contract commencement (fund-based entries only)</t>
  </si>
  <si>
    <t>Reclassify rents and leases exp. to financed purchase contract principal and interest exp.</t>
  </si>
  <si>
    <t>Cr: Acct 0789 - LEASE AND OTHER FINANCING PROCEEDS</t>
  </si>
  <si>
    <t>Dr: Acct 0789 - LEASE AND OTHER FINANCING PROCEEDS</t>
  </si>
  <si>
    <t>Record lease contract commencement (fund-based entries only)</t>
  </si>
  <si>
    <t>Reclassify rents and leases exp. to lease contract principal and interest exp.</t>
  </si>
  <si>
    <t>Entry #9</t>
  </si>
  <si>
    <t>(Entry #3 &amp; 10)</t>
  </si>
  <si>
    <t>(Entry #6 &amp; 9)</t>
  </si>
  <si>
    <t>Entry #10</t>
  </si>
  <si>
    <t>Record lease modifications to increase the lease receivable and other deferred inflows of resources.</t>
  </si>
  <si>
    <t xml:space="preserve">Record early termination or lease modifications to decrease the lease receivable and other deferred inflows of resources.	 </t>
  </si>
  <si>
    <t>Cr: Acct 0677 - CURRENT PORTION OF OTHER LONG-TERM LIABILITIES</t>
  </si>
  <si>
    <t>Acct 0677 - CURRENT PORTION OF OTHER LONG-TERM LIABILITIES</t>
  </si>
  <si>
    <t>Report any "Differences" on the Report 18 Differential.</t>
  </si>
  <si>
    <r>
      <t xml:space="preserve">The below information must be entered manually.
</t>
    </r>
    <r>
      <rPr>
        <b/>
        <i/>
        <sz val="12"/>
        <color rgb="FFFF0000"/>
        <rFont val="Arial"/>
        <family val="2"/>
      </rPr>
      <t>DO NOT ENTER DECIMALS. PLEASE ROUND TO THE NEAREST DOLLAR.</t>
    </r>
  </si>
  <si>
    <t>THIS SCHEDULE IS FOR THE CHANGE IN LEASE LIABILITY (ACCOUNT 0691) ONLY. THESE AMOUNTS WILL DIFFER FROM THE REPORT 18 (ASSETS).</t>
  </si>
  <si>
    <t>Location V3</t>
  </si>
  <si>
    <t>Version 3</t>
  </si>
  <si>
    <t>Multiple</t>
  </si>
  <si>
    <t>LS-Department Note Disclosure</t>
  </si>
  <si>
    <t>Clarification only.</t>
  </si>
  <si>
    <t>Linked Values</t>
  </si>
  <si>
    <t>No action required if the workbook only contains one fund. If the workbook contains multiple funds, override the formulas in yellow.</t>
  </si>
  <si>
    <t>THIS SCHEDULE IS FOR THE CHANGE IN OTHER NONCURRENT LIABILITIES (ACCOUNT 0695) ONLY. THESE AMOUNTS WILL DIFFER FROM THE REPORT 18 (ASSETS).</t>
  </si>
  <si>
    <r>
      <t xml:space="preserve">This sheet details the changes made between version 3 and version 4 of the </t>
    </r>
    <r>
      <rPr>
        <u/>
        <sz val="11"/>
        <color theme="1"/>
        <rFont val="Arial"/>
        <family val="2"/>
      </rPr>
      <t>GASB 87 Lessor Annual Reporting Submission Workbook</t>
    </r>
    <r>
      <rPr>
        <sz val="11"/>
        <color theme="1"/>
        <rFont val="Arial"/>
        <family val="2"/>
      </rPr>
      <t>. Familiarize yourself with the changes in the table below and follow the instructions for updating data from template version 3 to version 4.</t>
    </r>
  </si>
  <si>
    <t>Version 4</t>
  </si>
  <si>
    <t>Remove Financed Purchase Assets (Disposed)</t>
  </si>
  <si>
    <t>Dr: Acct 0458 - ACCUMULATED DEPRECIATION - BUILDINGS AND BUILDING IMPROVEMENTS</t>
  </si>
  <si>
    <t>Dr: Acct 0462 - ACCUMULATED DEPRECIATION - EQUIPMENT</t>
  </si>
  <si>
    <t>Cr: Acct 0448 - BUILDINGS AND BUILDING IMPROVEMENTS</t>
  </si>
  <si>
    <t>Cr: Acct 0450 - EQUIPMENT</t>
  </si>
  <si>
    <t>Cr: Acct 0446 - LAND AND LAND IMPROVEMENTS</t>
  </si>
  <si>
    <t>Record disposal of financed purchase assets.</t>
  </si>
  <si>
    <t>Financed Purchase Modifications (only if a significant modification occurred during the fiscal year)</t>
  </si>
  <si>
    <t>Record financed purchase modifications to decrease the asset's value.</t>
  </si>
  <si>
    <t>Record financed purchase modifications to increase the asset's value.</t>
  </si>
  <si>
    <t>GASB Statement No. 87 Lessee Financed Purchases</t>
  </si>
  <si>
    <t xml:space="preserve">1. To reconcile the journal entries of RTU Lease Liability with the schedule of changes in Lease Liabilities. </t>
  </si>
  <si>
    <t>The purpose of this workbook is to check the figures entered in the journal entries reconcile to the Schedule of Changes in Lease Liabilities.</t>
  </si>
  <si>
    <r>
      <t xml:space="preserve">This sheet details the changes made between version 3 and version 4 of the </t>
    </r>
    <r>
      <rPr>
        <u/>
        <sz val="11"/>
        <color theme="1"/>
        <rFont val="Arial"/>
        <family val="2"/>
      </rPr>
      <t>GASB 87 Lessee Financed Purchase Annual Reporting Submission Workbook</t>
    </r>
    <r>
      <rPr>
        <sz val="11"/>
        <color theme="1"/>
        <rFont val="Arial"/>
        <family val="2"/>
      </rPr>
      <t>. Familiarize yourself with the changes in the table below and follow the instructions for updating data from template version 3 to version 4.</t>
    </r>
  </si>
  <si>
    <t>Added - Entry #8</t>
  </si>
  <si>
    <t>Added - Entry #9</t>
  </si>
  <si>
    <t>Added - Entry #10</t>
  </si>
  <si>
    <t>Added - Journal Entry References</t>
  </si>
  <si>
    <t>Row 8</t>
  </si>
  <si>
    <t>FP-Check Figures</t>
  </si>
  <si>
    <t>Added - FP-Check Figures Tab</t>
  </si>
  <si>
    <t>Tab "FP-Check Figures"</t>
  </si>
  <si>
    <t>Added a new worksheet tab to serve as a check figure between the FP-Fund #### Journal Entries and FP-Lease Liabilities.
Detailed instructions on how to complete this tab are provided on the "Instructions for Completing the GASB 87 Annual Reporting Submission Workbook" available on the SCO website.</t>
  </si>
  <si>
    <t>Complete tab and ensure there are no variances before submitting.</t>
  </si>
  <si>
    <t>Entry #8 was added to write off a disposed financed purchase asset and accumulated amortization. This entry will remain blank until the financed purchase asset is disposed.</t>
  </si>
  <si>
    <t xml:space="preserve">Added Entry #9 to record financed purchase modifications to decrease the asset's value. This entry should remain blank if there were no changes to financed purchase assets during the fiscal year.
</t>
  </si>
  <si>
    <t>Linked values to the FP-Fund #### Journal Entries worksheet. Per line 23, if multiple funds are present in the workbook, the department will need to override the formulas in yellow to capture the activity in all funds.</t>
  </si>
  <si>
    <t xml:space="preserve">Updated journal entry number reference under "Additions" and "Deduction" columns to help identify where to find the necessary information on the FP-Fund #### Journal Entry tab.
</t>
  </si>
  <si>
    <t>Location V4</t>
  </si>
  <si>
    <t xml:space="preserve">FOR SCO USE ONLY </t>
  </si>
  <si>
    <t xml:space="preserve"> Rounded to the nearest thousand</t>
  </si>
  <si>
    <t>DR</t>
  </si>
  <si>
    <t>CR</t>
  </si>
  <si>
    <t>ADJUSTMENT</t>
  </si>
  <si>
    <t>Ending Balances of Assets and Liabilities</t>
  </si>
  <si>
    <t xml:space="preserve">Cr: Acct 0485 - ACCUMULATED AMORTIZATION - RIGHT-TO-USE LEASED LAND </t>
  </si>
  <si>
    <t xml:space="preserve">Cr: Acct 0479 - ACCUMULATED AMORTIZATION - RIGHT-TO-USE LEASED EQUIPMENT </t>
  </si>
  <si>
    <t>(Transfer from)</t>
  </si>
  <si>
    <t>Ending Balances of Assets &amp; Deferred Inflows of Resources</t>
  </si>
  <si>
    <t>FOR SCO USE ONLY</t>
  </si>
  <si>
    <t>Rounded to the nearest thousand</t>
  </si>
  <si>
    <t>Record disposed of financed purchase assets, if applicable.</t>
  </si>
  <si>
    <t xml:space="preserve">Record changes that decrease the values of financed purchase assets, if applicable. </t>
  </si>
  <si>
    <t>Added - For SCO Use Only</t>
  </si>
  <si>
    <t>Columns V through AF</t>
  </si>
  <si>
    <t>To round the adjusting entries to the nearest thousand.</t>
  </si>
  <si>
    <t xml:space="preserve">No action required.
</t>
  </si>
  <si>
    <t>Added - Conditional Formatting Rule</t>
  </si>
  <si>
    <t>Cells L110, L111, and L112</t>
  </si>
  <si>
    <t xml:space="preserve">Review and correct the entries if any ending balances of financed purchase assets are negative.
</t>
  </si>
  <si>
    <t>Cells L113 and L114</t>
  </si>
  <si>
    <t>Review and correct the entries if the ending balance of acct 0462/0458 has a total reduction greater than the acct 0450/0448 ending balance.</t>
  </si>
  <si>
    <t>Applied conditional formatting to notify users that the ending balances of accumulated amortization related to the associated financed purchase assets cannot exceed their initial costs or the total amount of the financed purchase assets' values, and should be negative.</t>
  </si>
  <si>
    <t>Cell L115</t>
  </si>
  <si>
    <t>Cell L116</t>
  </si>
  <si>
    <t>Review and correct the entries if the ending balance of acct 0695 is positive.</t>
  </si>
  <si>
    <t>Review and correct the entries if the ending balance of acct 0677 is positive.</t>
  </si>
  <si>
    <t>LR-Fund #### Journal Entries</t>
  </si>
  <si>
    <t>Cell L67</t>
  </si>
  <si>
    <t>Cell L68</t>
  </si>
  <si>
    <t>Cell L69</t>
  </si>
  <si>
    <t>Review and correct the entries if the ending balance of acct 0417 is negative.</t>
  </si>
  <si>
    <t>Review and correct the entries if the ending balance of acct 0036 is negative.</t>
  </si>
  <si>
    <t xml:space="preserve">Applied conditional formatting to notify users when the ending balances of financed purchase assets (Accts 0446 Land and Improvements, 0448 Buildings and Building Improvements, and 0450 Equipment) should be positive if any assets' ending balances are negative. </t>
  </si>
  <si>
    <t xml:space="preserve">Applied conditional formatting to notify users that the ending balance of Acct 0695 Other Noncurrent Liabilities should be negative if the ending balance is positive. </t>
  </si>
  <si>
    <t xml:space="preserve">Applied conditional formatting to notify users that the ending balance of Acct 0677 Current Portion of Other Long-Term Liabilities should be negative if the ending balance is positive. </t>
  </si>
  <si>
    <t>Applied conditional formatting to notify users if the Department Note Disclosure questionnaire is unanswered or incomplete for the selected fund type.</t>
  </si>
  <si>
    <t xml:space="preserve">Complete the Department Note Disclosure questionnaire for the selected fund type.
</t>
  </si>
  <si>
    <t xml:space="preserve">Applied conditional formatting to notify users that the ending balance of Acct 0417 Leases Receivable - Noncurrent should be positive if the ending balance is negative. </t>
  </si>
  <si>
    <t xml:space="preserve">Applied conditional formatting to notify users that the ending balance of Acct 0036 Leases Receivable - Current should be positive if the ending balance is negative. </t>
  </si>
  <si>
    <t xml:space="preserve">Applied conditional formatting to notify users that the ending balance of Acct 0698 Other Deferred Inflows of Resources should be negative if the ending balance is positive. </t>
  </si>
  <si>
    <t>Review and correct the entries if the ending balance of acct 0698 is positive.</t>
  </si>
  <si>
    <t>LR-Department Note Disclosure</t>
  </si>
  <si>
    <t>Linked cells</t>
  </si>
  <si>
    <t>Cells B9, B10, and B11</t>
  </si>
  <si>
    <t>Revised - 
Question #2</t>
  </si>
  <si>
    <t>Column E</t>
  </si>
  <si>
    <t>Added a yes or no drop-down list for question #2 for all fund types. Also, a reminder to enter the amount will auto-populate if yes is selected for any of those disclosure questions.</t>
  </si>
  <si>
    <t>Complete the Department Note Disclosure questionnaire for the selected fund type.</t>
  </si>
  <si>
    <t>Columns J through L</t>
  </si>
  <si>
    <t xml:space="preserve">To round the principal and interest payments to the nearest thousand. 
</t>
  </si>
  <si>
    <t>LR-Check Figures</t>
  </si>
  <si>
    <t>Updated functions</t>
  </si>
  <si>
    <t>Cells N41, N48, and N56</t>
  </si>
  <si>
    <t>Updated the functions to concatenate the fiscal year from the LR-Department Note Disclosure worksheet instead of the LS-Department Note Disclosure worksheet.</t>
  </si>
  <si>
    <t>If yes, record the dollar amount of any other payments for your leases below:</t>
  </si>
  <si>
    <t>Cell B10</t>
  </si>
  <si>
    <t>Cell B11</t>
  </si>
  <si>
    <t>Rows 74-80</t>
  </si>
  <si>
    <t>Rows 85-93</t>
  </si>
  <si>
    <t>Rows 96-103</t>
  </si>
  <si>
    <t xml:space="preserve">Record changes that increase the values of financed purchase assets or transfers from other funds, if applicable. </t>
  </si>
  <si>
    <t xml:space="preserve">Added Entry #10 to record financed purchase modifications to increase the asset's value or any financed purchase transfers from other fund(s). This entry should remain blank if there were no changes to financed purchase assets or no financed purchase asset transfers from other funds during the fiscal year.
</t>
  </si>
  <si>
    <t xml:space="preserve">Report any amounts as appropriate. 
</t>
  </si>
  <si>
    <t>Revised - Entry #10</t>
  </si>
  <si>
    <t>Rows 109-113</t>
  </si>
  <si>
    <t>Rows 109-117</t>
  </si>
  <si>
    <t>Additional entry lines were added to report RTU lease asset transfers from other fund(s)</t>
  </si>
  <si>
    <t>Added a note - Entry #10</t>
  </si>
  <si>
    <t>Cell B121</t>
  </si>
  <si>
    <t xml:space="preserve">To remind users not to enter any values for accts 0485, 0479, 0486, and 0870 (or functional expense) for SBITA modifications. 
</t>
  </si>
  <si>
    <t>Cells L126, L127 and L128</t>
  </si>
  <si>
    <t xml:space="preserve">Applied conditional formatting to notify users when the ending balances of right-to-use leased assets (Accts 0476 Right-to-Use Leased Land - Amortizable, 0478 Right-to-Use Leased Equipment - Amortizable, and 0477 Right-to-Used Leased Buildings - Amortizable) should be positive if any assets' ending balances are negative. 	</t>
  </si>
  <si>
    <t>Review and correct the entries if any ending balances of right-to-use leased assets are negative.</t>
  </si>
  <si>
    <t>Review and correct the entries if the ending balance of acct 0485/0479/0486 has a total reduction greater than the acct 0476/0478/0477 ending balance.</t>
  </si>
  <si>
    <t xml:space="preserve">Applied conditional formatting to notify users that the ending balances of accumulated amortization related to the associated right-to-use leased assets cannot exceed their initial costs or the total amount of the right-to-use leased assets' values, and should be negative.	</t>
  </si>
  <si>
    <t>Cells L129, L130 and L131</t>
  </si>
  <si>
    <t>Applied conditional formatting to notify users that the ending balance of Acct 0691 Right-to-use Lease Liability should be negative if the ending balance is positive.</t>
  </si>
  <si>
    <t>Cell L132</t>
  </si>
  <si>
    <t>Review and correct the entries if the ending balance of acct 0691 is positive.</t>
  </si>
  <si>
    <t>Cell L133</t>
  </si>
  <si>
    <t>Review and correct the entries if the ending balance of acct 0649 is positive.</t>
  </si>
  <si>
    <t>Applied conditional formatting to notify users that the ending balance of Acct 0649 Right-to-use Lease Liability (Current Portion LT) should be negative if the ending balance is positive.</t>
  </si>
  <si>
    <t>Cells B8, B9, and B10</t>
  </si>
  <si>
    <t xml:space="preserve">Linked the fiscal year, organization code, and organization name to the LR-Fund #### Journal Entries worksheet to auto-populate the information. </t>
  </si>
  <si>
    <t xml:space="preserve">Linked the fiscal year, organization code, and organization name to the LS-Fund #### Journal Entries worksheet to auto-populate the information. </t>
  </si>
  <si>
    <t>Revised - 
Questions #3 and #4</t>
  </si>
  <si>
    <t>Column D</t>
  </si>
  <si>
    <t>Added a yes or no drop-down list for questions #3 and #4 for all fund types. Also, a reminder to enter the amount will auto-populate if yes is selected for any of those disclosure questions.</t>
  </si>
  <si>
    <r>
      <t xml:space="preserve">This sheet details the changes made between version 3 and version 4 of the </t>
    </r>
    <r>
      <rPr>
        <u/>
        <sz val="11"/>
        <color theme="1"/>
        <rFont val="Arial"/>
        <family val="2"/>
      </rPr>
      <t>GASB 87 Lessee Annual Reporting Submission Workbook</t>
    </r>
    <r>
      <rPr>
        <sz val="11"/>
        <color theme="1"/>
        <rFont val="Arial"/>
        <family val="2"/>
      </rPr>
      <t>. Familiarize yourself with the changes in the table below and follow the instructions for updating data from template version 3 to version 4.</t>
    </r>
  </si>
  <si>
    <r>
      <t xml:space="preserve">Lessee-Type Contracts Fund-by-Fund Journal Entries Form 
</t>
    </r>
    <r>
      <rPr>
        <sz val="16"/>
        <rFont val="Arial"/>
        <family val="2"/>
      </rPr>
      <t>(to be submitted to SCO annually—one form per fund)</t>
    </r>
  </si>
  <si>
    <t xml:space="preserve">Record early termination or lease modifications that decrease the RTU leased asset. </t>
  </si>
  <si>
    <t xml:space="preserve">Record lease modifications that increase the RTU leased asset. </t>
  </si>
  <si>
    <t>Published on SCO website in March 2024 for use for reporting period 2023-2024.</t>
  </si>
  <si>
    <t>Note: There are three tables of note disclosures on this form —1) governmental funds, 2) proprietary - internal service funds, and 3) proprietary - enterprise funds. Complete all applicable tables before submitting to SCO.</t>
  </si>
  <si>
    <t>Cells D10, D41, D72</t>
  </si>
  <si>
    <t xml:space="preserve"> Submit one form for the department to SCO annually.</t>
  </si>
  <si>
    <t>For Entry #10, please use accts 0485, 0479, 0486, and 0870 (or functional expense) only for lease transfers from other fund(s), not for lease modifications.</t>
  </si>
  <si>
    <t>Published on SCO website in October 2024 for use for reporting period 2023-2024.</t>
  </si>
  <si>
    <r>
      <t xml:space="preserve">Lessor-Type Contracts Fund-by-Fund Journal Entries Form 
</t>
    </r>
    <r>
      <rPr>
        <sz val="16"/>
        <rFont val="Arial"/>
        <family val="2"/>
      </rPr>
      <t>(to be submitted to SCO annually—one form per fund)</t>
    </r>
  </si>
  <si>
    <t>Cells B11, B42, B73</t>
  </si>
  <si>
    <r>
      <t xml:space="preserve">Financed Purchase-Type Contracts Fund-by-Fund Journal Entries Form 
</t>
    </r>
    <r>
      <rPr>
        <sz val="16"/>
        <rFont val="Arial"/>
        <family val="2"/>
      </rPr>
      <t>(to be submitted to SCO annually—one form per fund)</t>
    </r>
  </si>
  <si>
    <t>Cr: Acct 0815 - HLTH&amp;HUM SV SV.LAB (GAAP ADJ)</t>
  </si>
  <si>
    <t>Dr: Acct 0815 - HLTH&amp;HUM SV SV.LAB (GAAP ADJ)</t>
  </si>
  <si>
    <t>For Entry #10, please use accts 0462, 0458, and 0870 (or functional expense) only for financed purchase transfers from other fund(s), not for financed purchase modifications.</t>
  </si>
  <si>
    <t>Published on SCO website in August 2025 for use for reporting periods 2024-2025 and afterwards.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</si>
</sst>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00"/>
    <numFmt numFmtId="165" formatCode="_(&quot;$&quot;* #,##0_);_(&quot;$&quot;* \(#,##0\);_(&quot;$&quot;* &quot;-&quot;??_);_(@_)"/>
    <numFmt numFmtId="166" formatCode="####0000"/>
    <numFmt numFmtId="167" formatCode="_(* #,##0_);_(* \(#,##0\);_(* &quot;-&quot;??_);_(@_)"/>
  </numFmts>
  <fonts count="63" x14ac:knownFonts="1">
    <font>
      <sz val="11"/>
      <color theme="1"/>
      <name val="Calibri"/>
      <family val="2"/>
      <scheme val="minor"/>
    </font>
    <font>
      <sz val="11"/>
      <color theme="1"/>
      <name val="Calibri"/>
      <family val="2"/>
      <scheme val="minor"/>
    </font>
    <font>
      <b/>
      <sz val="12"/>
      <name val="Arial"/>
      <family val="2"/>
    </font>
    <font>
      <sz val="12"/>
      <name val="Arial"/>
      <family val="2"/>
    </font>
    <font>
      <sz val="12"/>
      <color theme="1"/>
      <name val="arial"/>
      <family val="2"/>
    </font>
    <font>
      <sz val="10"/>
      <color rgb="FFFF0000"/>
      <name val="arial"/>
      <family val="2"/>
    </font>
    <font>
      <sz val="12"/>
      <color rgb="FFFF0000"/>
      <name val="arial"/>
      <family val="2"/>
    </font>
    <font>
      <b/>
      <sz val="12"/>
      <color theme="1"/>
      <name val="arial"/>
      <family val="2"/>
    </font>
    <font>
      <b/>
      <sz val="12"/>
      <color theme="8" tint="-0.249977111117893"/>
      <name val="Arial"/>
      <family val="2"/>
    </font>
    <font>
      <b/>
      <sz val="12"/>
      <color rgb="FF00B050"/>
      <name val="Arial"/>
      <family val="2"/>
    </font>
    <font>
      <b/>
      <sz val="12"/>
      <color rgb="FF7030A0"/>
      <name val="Arial"/>
      <family val="2"/>
    </font>
    <font>
      <b/>
      <sz val="12"/>
      <color rgb="FFFF0000"/>
      <name val="Arial"/>
      <family val="2"/>
    </font>
    <font>
      <b/>
      <i/>
      <sz val="12"/>
      <color theme="1"/>
      <name val="Arial"/>
      <family val="2"/>
    </font>
    <font>
      <sz val="14"/>
      <color theme="1"/>
      <name val="Arial Narrow"/>
      <family val="2"/>
    </font>
    <font>
      <b/>
      <sz val="16"/>
      <color theme="1"/>
      <name val="Arial Narrow"/>
      <family val="2"/>
    </font>
    <font>
      <b/>
      <sz val="14"/>
      <color theme="1"/>
      <name val="Arial Narrow"/>
      <family val="2"/>
    </font>
    <font>
      <i/>
      <sz val="12"/>
      <color theme="1"/>
      <name val="Arial"/>
      <family val="2"/>
    </font>
    <font>
      <sz val="12"/>
      <color rgb="FF00B0F0"/>
      <name val="Arial"/>
      <family val="2"/>
    </font>
    <font>
      <i/>
      <sz val="12"/>
      <name val="Arial"/>
      <family val="2"/>
    </font>
    <font>
      <b/>
      <sz val="12"/>
      <color rgb="FF00B0F0"/>
      <name val="Arial"/>
      <family val="2"/>
    </font>
    <font>
      <sz val="12"/>
      <color rgb="FF0070C0"/>
      <name val="Arial"/>
      <family val="2"/>
    </font>
    <font>
      <b/>
      <sz val="14"/>
      <color rgb="FF00B050"/>
      <name val="Arial"/>
      <family val="2"/>
    </font>
    <font>
      <b/>
      <sz val="11"/>
      <color theme="1"/>
      <name val="Calibri"/>
      <family val="2"/>
      <scheme val="minor"/>
    </font>
    <font>
      <b/>
      <sz val="12"/>
      <color theme="1"/>
      <name val="Calibri"/>
      <family val="2"/>
      <scheme val="minor"/>
    </font>
    <font>
      <sz val="12"/>
      <color theme="1"/>
      <name val="Calibri"/>
      <family val="2"/>
      <scheme val="minor"/>
    </font>
    <font>
      <sz val="11"/>
      <name val="Calibri"/>
      <family val="2"/>
      <scheme val="minor"/>
    </font>
    <font>
      <b/>
      <i/>
      <sz val="11"/>
      <color rgb="FFFF0000"/>
      <name val="Calibri"/>
      <family val="2"/>
      <scheme val="minor"/>
    </font>
    <font>
      <b/>
      <sz val="11"/>
      <name val="Calibri"/>
      <family val="2"/>
      <scheme val="minor"/>
    </font>
    <font>
      <b/>
      <sz val="11"/>
      <color rgb="FF00B050"/>
      <name val="Calibri"/>
      <family val="2"/>
      <scheme val="minor"/>
    </font>
    <font>
      <b/>
      <sz val="11"/>
      <color theme="8" tint="-0.249977111117893"/>
      <name val="Calibri"/>
      <family val="2"/>
      <scheme val="minor"/>
    </font>
    <font>
      <b/>
      <sz val="11"/>
      <color rgb="FFFF0000"/>
      <name val="Calibri"/>
      <family val="2"/>
      <scheme val="minor"/>
    </font>
    <font>
      <b/>
      <sz val="13"/>
      <color rgb="FFFF0000"/>
      <name val="Calibri"/>
      <family val="2"/>
      <scheme val="minor"/>
    </font>
    <font>
      <sz val="12"/>
      <color theme="8" tint="-0.249977111117893"/>
      <name val="Arial"/>
      <family val="2"/>
    </font>
    <font>
      <b/>
      <sz val="16"/>
      <color theme="8" tint="-0.249977111117893"/>
      <name val="Arial"/>
      <family val="2"/>
    </font>
    <font>
      <b/>
      <sz val="12"/>
      <color rgb="FF0070C0"/>
      <name val="Arial"/>
      <family val="2"/>
    </font>
    <font>
      <b/>
      <sz val="11"/>
      <color rgb="FF000000"/>
      <name val="Calibri"/>
      <family val="2"/>
    </font>
    <font>
      <sz val="11"/>
      <color rgb="FF000000"/>
      <name val="Calibri"/>
      <family val="2"/>
    </font>
    <font>
      <sz val="11"/>
      <color rgb="FF000000"/>
      <name val="Calibri"/>
      <family val="2"/>
    </font>
    <font>
      <b/>
      <sz val="14"/>
      <color rgb="FFFF0000"/>
      <name val="Arial"/>
      <family val="2"/>
    </font>
    <font>
      <sz val="14"/>
      <color rgb="FFFF0000"/>
      <name val="Arial"/>
      <family val="2"/>
    </font>
    <font>
      <b/>
      <sz val="16"/>
      <color rgb="FFFF0000"/>
      <name val="Arial"/>
      <family val="2"/>
    </font>
    <font>
      <sz val="16"/>
      <color theme="8" tint="-0.249977111117893"/>
      <name val="Arial"/>
      <family val="2"/>
    </font>
    <font>
      <sz val="16"/>
      <color rgb="FFFF0000"/>
      <name val="Arial"/>
      <family val="2"/>
    </font>
    <font>
      <sz val="16"/>
      <color theme="1"/>
      <name val="Arial"/>
      <family val="2"/>
    </font>
    <font>
      <i/>
      <sz val="14"/>
      <color rgb="FFFF0000"/>
      <name val="Arial"/>
      <family val="2"/>
    </font>
    <font>
      <sz val="16"/>
      <name val="Arial"/>
      <family val="2"/>
    </font>
    <font>
      <b/>
      <sz val="16"/>
      <name val="Arial"/>
      <family val="2"/>
    </font>
    <font>
      <i/>
      <sz val="14"/>
      <color theme="1"/>
      <name val="Arial"/>
      <family val="2"/>
    </font>
    <font>
      <b/>
      <i/>
      <sz val="14"/>
      <color theme="1"/>
      <name val="Arial Narrow"/>
      <family val="2"/>
    </font>
    <font>
      <i/>
      <sz val="12"/>
      <color rgb="FFFF0000"/>
      <name val="Arial"/>
      <family val="2"/>
    </font>
    <font>
      <b/>
      <sz val="14"/>
      <name val="Arial"/>
      <family val="2"/>
    </font>
    <font>
      <sz val="11"/>
      <color theme="1"/>
      <name val="Arial"/>
      <family val="2"/>
    </font>
    <font>
      <b/>
      <sz val="11"/>
      <color theme="1"/>
      <name val="arial"/>
      <family val="2"/>
    </font>
    <font>
      <b/>
      <sz val="11"/>
      <color rgb="FFFF0000"/>
      <name val="arial"/>
      <family val="2"/>
    </font>
    <font>
      <b/>
      <sz val="11"/>
      <name val="arial"/>
      <family val="2"/>
    </font>
    <font>
      <u/>
      <sz val="11"/>
      <color theme="1"/>
      <name val="Arial"/>
      <family val="2"/>
    </font>
    <font>
      <b/>
      <i/>
      <sz val="12"/>
      <color rgb="FFFF0000"/>
      <name val="Arial"/>
      <family val="2"/>
    </font>
    <font>
      <b/>
      <sz val="14"/>
      <color rgb="FFFF0000"/>
      <name val="Arial Narrow"/>
      <family val="2"/>
    </font>
    <font>
      <b/>
      <sz val="22"/>
      <color rgb="FFFF0000"/>
      <name val="arial"/>
      <family val="2"/>
    </font>
    <font>
      <b/>
      <i/>
      <sz val="12"/>
      <color rgb="FF7030A0"/>
      <name val="Arial"/>
      <family val="2"/>
    </font>
    <font>
      <b/>
      <sz val="12"/>
      <color rgb="FF007E39"/>
      <name val="arial"/>
      <family val="2"/>
    </font>
    <font>
      <sz val="12"/>
      <color theme="0"/>
      <name val="arial"/>
      <family val="2"/>
    </font>
    <font>
      <b/>
      <sz val="13"/>
      <color rgb="FF7030A0"/>
      <name val="Arial"/>
      <family val="2"/>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C0C0C0"/>
        <bgColor rgb="FFC0C0C0"/>
      </patternFill>
    </fill>
    <fill>
      <patternFill patternType="solid">
        <fgColor theme="9" tint="0.79998168889431442"/>
        <bgColor indexed="64"/>
      </patternFill>
    </fill>
    <fill>
      <patternFill patternType="solid">
        <fgColor rgb="FFC5D9F1"/>
        <bgColor indexed="64"/>
      </patternFill>
    </fill>
  </fills>
  <borders count="32">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top style="thick">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rgb="FFFF0000"/>
      </left>
      <right style="thin">
        <color rgb="FFFF0000"/>
      </right>
      <top style="thin">
        <color rgb="FFFF0000"/>
      </top>
      <bottom style="thin">
        <color rgb="FFFF0000"/>
      </bottom>
      <diagonal/>
    </border>
    <border>
      <left style="thin">
        <color rgb="FFD0D7E5"/>
      </left>
      <right style="thin">
        <color rgb="FFD0D7E5"/>
      </right>
      <top style="thin">
        <color rgb="FFD0D7E5"/>
      </top>
      <bottom style="thin">
        <color rgb="FFD0D7E5"/>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rgb="FFFF0000"/>
      </bottom>
      <diagonal/>
    </border>
    <border>
      <left style="thin">
        <color indexed="64"/>
      </left>
      <right style="thin">
        <color rgb="FFFF0000"/>
      </right>
      <top style="thin">
        <color rgb="FFFF0000"/>
      </top>
      <bottom style="thin">
        <color rgb="FFFF0000"/>
      </bottom>
      <diagonal/>
    </border>
    <border>
      <left style="thin">
        <color rgb="FFFF0000"/>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449">
    <xf numFmtId="0" fontId="0" fillId="0" borderId="0" xfId="0"/>
    <xf numFmtId="0" fontId="4" fillId="0" borderId="0" xfId="0" applyFont="1"/>
    <xf numFmtId="165" fontId="6" fillId="2" borderId="2" xfId="2" applyNumberFormat="1" applyFont="1" applyFill="1" applyBorder="1" applyProtection="1">
      <protection locked="0"/>
    </xf>
    <xf numFmtId="0" fontId="14" fillId="3" borderId="0" xfId="0" applyFont="1" applyFill="1"/>
    <xf numFmtId="165" fontId="18" fillId="0" borderId="0" xfId="0" applyNumberFormat="1" applyFont="1" applyAlignment="1">
      <alignment horizontal="left" indent="1"/>
    </xf>
    <xf numFmtId="0" fontId="2" fillId="0" borderId="0" xfId="0" applyFont="1" applyAlignment="1">
      <alignment horizontal="center"/>
    </xf>
    <xf numFmtId="0" fontId="2" fillId="0" borderId="0" xfId="0" applyFont="1"/>
    <xf numFmtId="0" fontId="6" fillId="0" borderId="0" xfId="0" applyFont="1" applyAlignment="1">
      <alignment horizontal="left"/>
    </xf>
    <xf numFmtId="0" fontId="6" fillId="0" borderId="0" xfId="0" quotePrefix="1" applyFont="1" applyAlignment="1">
      <alignment horizontal="left"/>
    </xf>
    <xf numFmtId="0" fontId="17" fillId="0" borderId="0" xfId="0" applyFont="1"/>
    <xf numFmtId="44" fontId="17" fillId="0" borderId="0" xfId="2" applyFont="1" applyProtection="1"/>
    <xf numFmtId="0" fontId="6" fillId="0" borderId="0" xfId="0" applyFont="1"/>
    <xf numFmtId="0" fontId="2" fillId="0" borderId="0" xfId="0" applyFont="1" applyAlignment="1">
      <alignment horizontal="left"/>
    </xf>
    <xf numFmtId="165" fontId="6" fillId="0" borderId="0" xfId="2" applyNumberFormat="1" applyFont="1" applyAlignment="1" applyProtection="1">
      <alignment horizontal="left"/>
    </xf>
    <xf numFmtId="0" fontId="20" fillId="0" borderId="0" xfId="0" applyFont="1"/>
    <xf numFmtId="0" fontId="6" fillId="0" borderId="0" xfId="0" applyFont="1" applyAlignment="1">
      <alignment horizontal="center"/>
    </xf>
    <xf numFmtId="44" fontId="17" fillId="0" borderId="0" xfId="0" applyNumberFormat="1" applyFont="1" applyAlignment="1">
      <alignment horizontal="left"/>
    </xf>
    <xf numFmtId="165" fontId="6" fillId="0" borderId="0" xfId="2" applyNumberFormat="1" applyFont="1" applyProtection="1"/>
    <xf numFmtId="43" fontId="17" fillId="0" borderId="0" xfId="1" applyFont="1" applyProtection="1"/>
    <xf numFmtId="0" fontId="16" fillId="0" borderId="0" xfId="0" applyFont="1"/>
    <xf numFmtId="0" fontId="3" fillId="0" borderId="0" xfId="0" applyFont="1"/>
    <xf numFmtId="0" fontId="6" fillId="0" borderId="0" xfId="0" applyFont="1" applyAlignment="1">
      <alignment vertical="top"/>
    </xf>
    <xf numFmtId="43" fontId="4" fillId="0" borderId="0" xfId="1" applyFont="1" applyProtection="1"/>
    <xf numFmtId="0" fontId="16" fillId="0" borderId="0" xfId="0" applyFont="1" applyAlignment="1">
      <alignment horizontal="left" indent="2"/>
    </xf>
    <xf numFmtId="165" fontId="6" fillId="0" borderId="0" xfId="2" applyNumberFormat="1" applyFont="1" applyFill="1" applyProtection="1"/>
    <xf numFmtId="0" fontId="19" fillId="0" borderId="0" xfId="0" applyFont="1" applyAlignment="1">
      <alignment horizontal="right"/>
    </xf>
    <xf numFmtId="165" fontId="3" fillId="0" borderId="0" xfId="0" applyNumberFormat="1" applyFont="1"/>
    <xf numFmtId="165" fontId="19" fillId="0" borderId="0" xfId="2" applyNumberFormat="1" applyFont="1" applyAlignment="1" applyProtection="1">
      <alignment horizontal="right"/>
    </xf>
    <xf numFmtId="165" fontId="4" fillId="0" borderId="0" xfId="0" applyNumberFormat="1" applyFont="1"/>
    <xf numFmtId="0" fontId="11" fillId="0" borderId="0" xfId="0" applyFont="1"/>
    <xf numFmtId="165" fontId="11" fillId="0" borderId="0" xfId="2" applyNumberFormat="1" applyFont="1" applyFill="1" applyProtection="1"/>
    <xf numFmtId="0" fontId="10" fillId="0" borderId="0" xfId="0" applyFont="1"/>
    <xf numFmtId="165" fontId="3" fillId="0" borderId="0" xfId="2" applyNumberFormat="1" applyFont="1" applyFill="1" applyProtection="1"/>
    <xf numFmtId="165" fontId="3" fillId="0" borderId="0" xfId="2" applyNumberFormat="1" applyFont="1" applyFill="1" applyAlignment="1" applyProtection="1">
      <alignment horizontal="right"/>
    </xf>
    <xf numFmtId="0" fontId="18" fillId="0" borderId="0" xfId="0" applyFont="1"/>
    <xf numFmtId="0" fontId="6" fillId="2" borderId="0" xfId="0" applyFont="1" applyFill="1" applyAlignment="1" applyProtection="1">
      <alignment horizontal="left"/>
      <protection locked="0"/>
    </xf>
    <xf numFmtId="0" fontId="5" fillId="0" borderId="0" xfId="0" applyFont="1" applyAlignment="1">
      <alignment horizontal="left" vertical="center" wrapText="1"/>
    </xf>
    <xf numFmtId="0" fontId="4" fillId="0" borderId="0" xfId="0" applyFont="1" applyAlignment="1">
      <alignment vertical="top"/>
    </xf>
    <xf numFmtId="0" fontId="2" fillId="0" borderId="0" xfId="0" applyFont="1" applyAlignment="1">
      <alignment horizontal="left" vertical="top"/>
    </xf>
    <xf numFmtId="0" fontId="6" fillId="0" borderId="0" xfId="0" applyFont="1" applyAlignment="1">
      <alignment horizontal="left" vertical="top"/>
    </xf>
    <xf numFmtId="0" fontId="6" fillId="0" borderId="0" xfId="0" quotePrefix="1" applyFont="1" applyAlignment="1">
      <alignment horizontal="left" vertical="top"/>
    </xf>
    <xf numFmtId="165" fontId="6" fillId="0" borderId="0" xfId="2" applyNumberFormat="1" applyFont="1" applyAlignment="1" applyProtection="1">
      <alignment horizontal="left" vertical="top"/>
    </xf>
    <xf numFmtId="0" fontId="7" fillId="0" borderId="0" xfId="0" applyFont="1"/>
    <xf numFmtId="165" fontId="9" fillId="0" borderId="0" xfId="0" applyNumberFormat="1" applyFont="1"/>
    <xf numFmtId="165" fontId="9" fillId="0" borderId="0" xfId="2" applyNumberFormat="1" applyFont="1" applyProtection="1"/>
    <xf numFmtId="165" fontId="9" fillId="0" borderId="0" xfId="0" applyNumberFormat="1" applyFont="1" applyAlignment="1">
      <alignment horizontal="left"/>
    </xf>
    <xf numFmtId="44" fontId="11" fillId="0" borderId="0" xfId="2" applyFont="1" applyProtection="1"/>
    <xf numFmtId="165" fontId="8" fillId="0" borderId="0" xfId="0" applyNumberFormat="1" applyFont="1"/>
    <xf numFmtId="165" fontId="8" fillId="0" borderId="0" xfId="2" applyNumberFormat="1" applyFont="1" applyProtection="1"/>
    <xf numFmtId="165" fontId="8" fillId="0" borderId="0" xfId="0" applyNumberFormat="1" applyFont="1" applyAlignment="1">
      <alignment horizontal="left"/>
    </xf>
    <xf numFmtId="165" fontId="3" fillId="0" borderId="0" xfId="0" applyNumberFormat="1" applyFont="1" applyAlignment="1">
      <alignment horizontal="left"/>
    </xf>
    <xf numFmtId="0" fontId="6" fillId="0" borderId="0" xfId="0" applyFont="1" applyAlignment="1">
      <alignment horizontal="left" vertical="top" wrapText="1"/>
    </xf>
    <xf numFmtId="0" fontId="3" fillId="0" borderId="0" xfId="0" applyFont="1" applyAlignment="1">
      <alignment vertical="top"/>
    </xf>
    <xf numFmtId="165" fontId="6" fillId="0" borderId="0" xfId="2" applyNumberFormat="1" applyFont="1" applyAlignment="1" applyProtection="1">
      <alignment vertical="top"/>
    </xf>
    <xf numFmtId="0" fontId="3" fillId="0" borderId="0" xfId="0" applyFont="1" applyAlignment="1">
      <alignment horizontal="left"/>
    </xf>
    <xf numFmtId="0" fontId="4" fillId="0" borderId="0" xfId="0" applyFont="1" applyAlignment="1">
      <alignment vertical="top" wrapText="1"/>
    </xf>
    <xf numFmtId="0" fontId="7" fillId="0" borderId="0" xfId="0" applyFont="1" applyAlignment="1">
      <alignment horizontal="left"/>
    </xf>
    <xf numFmtId="0" fontId="4" fillId="0" borderId="0" xfId="0" applyFont="1" applyAlignment="1">
      <alignment horizontal="left" vertical="top"/>
    </xf>
    <xf numFmtId="0" fontId="4" fillId="0" borderId="0" xfId="0" applyFont="1" applyAlignment="1">
      <alignment horizontal="left" vertical="top" wrapText="1"/>
    </xf>
    <xf numFmtId="165" fontId="6" fillId="0" borderId="0" xfId="2" applyNumberFormat="1" applyFont="1" applyFill="1" applyBorder="1" applyProtection="1"/>
    <xf numFmtId="0" fontId="13" fillId="3" borderId="0" xfId="0" applyFont="1" applyFill="1"/>
    <xf numFmtId="38" fontId="13" fillId="3" borderId="0" xfId="0" applyNumberFormat="1" applyFont="1" applyFill="1"/>
    <xf numFmtId="0" fontId="13" fillId="3" borderId="3" xfId="0" applyFont="1" applyFill="1" applyBorder="1"/>
    <xf numFmtId="0" fontId="13" fillId="3" borderId="4" xfId="0" applyFont="1" applyFill="1" applyBorder="1"/>
    <xf numFmtId="38" fontId="13" fillId="3" borderId="4" xfId="0" applyNumberFormat="1" applyFont="1" applyFill="1" applyBorder="1"/>
    <xf numFmtId="0" fontId="13" fillId="3" borderId="5" xfId="0" applyFont="1" applyFill="1" applyBorder="1"/>
    <xf numFmtId="0" fontId="13" fillId="3" borderId="6" xfId="0" applyFont="1" applyFill="1" applyBorder="1"/>
    <xf numFmtId="0" fontId="14" fillId="3" borderId="0" xfId="0" applyFont="1" applyFill="1" applyAlignment="1">
      <alignment horizontal="center"/>
    </xf>
    <xf numFmtId="0" fontId="13" fillId="3" borderId="7" xfId="0" applyFont="1" applyFill="1" applyBorder="1"/>
    <xf numFmtId="38" fontId="15" fillId="3" borderId="8" xfId="0" applyNumberFormat="1" applyFont="1" applyFill="1" applyBorder="1" applyAlignment="1">
      <alignment horizontal="center" wrapText="1"/>
    </xf>
    <xf numFmtId="0" fontId="15" fillId="3" borderId="0" xfId="0" applyFont="1" applyFill="1"/>
    <xf numFmtId="38" fontId="15" fillId="3" borderId="8" xfId="0" applyNumberFormat="1" applyFont="1" applyFill="1" applyBorder="1" applyAlignment="1">
      <alignment horizontal="center"/>
    </xf>
    <xf numFmtId="0" fontId="13" fillId="3" borderId="0" xfId="0" applyFont="1" applyFill="1" applyAlignment="1">
      <alignment wrapText="1"/>
    </xf>
    <xf numFmtId="0" fontId="13" fillId="3" borderId="10" xfId="0" applyFont="1" applyFill="1" applyBorder="1"/>
    <xf numFmtId="0" fontId="13" fillId="3" borderId="8" xfId="0" applyFont="1" applyFill="1" applyBorder="1"/>
    <xf numFmtId="38" fontId="13" fillId="3" borderId="8" xfId="0" applyNumberFormat="1" applyFont="1" applyFill="1" applyBorder="1"/>
    <xf numFmtId="0" fontId="13" fillId="3" borderId="11" xfId="0" applyFont="1" applyFill="1" applyBorder="1"/>
    <xf numFmtId="0" fontId="4" fillId="4" borderId="2" xfId="0" applyFont="1" applyFill="1" applyBorder="1"/>
    <xf numFmtId="0" fontId="7" fillId="4" borderId="2" xfId="0" applyFont="1" applyFill="1" applyBorder="1" applyAlignment="1">
      <alignment horizontal="center"/>
    </xf>
    <xf numFmtId="165" fontId="6" fillId="0" borderId="1" xfId="2" applyNumberFormat="1" applyFont="1" applyFill="1" applyBorder="1" applyProtection="1"/>
    <xf numFmtId="43" fontId="2" fillId="0" borderId="0" xfId="1" applyFont="1" applyAlignment="1" applyProtection="1">
      <alignment horizontal="center"/>
    </xf>
    <xf numFmtId="43" fontId="4" fillId="0" borderId="0" xfId="1" applyFont="1" applyBorder="1" applyProtection="1"/>
    <xf numFmtId="44" fontId="4" fillId="0" borderId="0" xfId="2" applyFont="1" applyFill="1" applyProtection="1"/>
    <xf numFmtId="44" fontId="3" fillId="0" borderId="0" xfId="2" applyFont="1" applyFill="1" applyAlignment="1" applyProtection="1">
      <alignment horizontal="left" vertical="top"/>
    </xf>
    <xf numFmtId="0" fontId="6" fillId="2" borderId="0" xfId="0" applyFont="1" applyFill="1" applyAlignment="1" applyProtection="1">
      <alignment horizontal="left" vertical="top"/>
      <protection locked="0"/>
    </xf>
    <xf numFmtId="0" fontId="21" fillId="0" borderId="0" xfId="0" applyFont="1" applyAlignment="1">
      <alignment vertical="center"/>
    </xf>
    <xf numFmtId="166" fontId="6" fillId="2" borderId="0" xfId="0" applyNumberFormat="1" applyFont="1" applyFill="1" applyAlignment="1" applyProtection="1">
      <alignment horizontal="left"/>
      <protection locked="0"/>
    </xf>
    <xf numFmtId="44" fontId="6" fillId="2" borderId="0" xfId="2" applyFont="1" applyFill="1" applyAlignment="1" applyProtection="1">
      <alignment horizontal="left" vertical="top"/>
      <protection locked="0"/>
    </xf>
    <xf numFmtId="0" fontId="6" fillId="0" borderId="0" xfId="0" applyFont="1" applyAlignment="1">
      <alignment vertical="top" wrapText="1"/>
    </xf>
    <xf numFmtId="167" fontId="6" fillId="2" borderId="2" xfId="1" applyNumberFormat="1" applyFont="1" applyFill="1" applyBorder="1" applyProtection="1">
      <protection locked="0"/>
    </xf>
    <xf numFmtId="0" fontId="4" fillId="0" borderId="1" xfId="0" applyFont="1" applyBorder="1" applyAlignment="1">
      <alignment vertical="top"/>
    </xf>
    <xf numFmtId="0" fontId="14" fillId="0" borderId="0" xfId="0" applyFont="1" applyAlignment="1" applyProtection="1">
      <alignment horizontal="center"/>
      <protection locked="0"/>
    </xf>
    <xf numFmtId="167" fontId="13" fillId="3" borderId="0" xfId="1" applyNumberFormat="1" applyFont="1" applyFill="1"/>
    <xf numFmtId="167" fontId="13" fillId="3" borderId="0" xfId="1" quotePrefix="1" applyNumberFormat="1" applyFont="1" applyFill="1"/>
    <xf numFmtId="167" fontId="13" fillId="3" borderId="0" xfId="1" applyNumberFormat="1" applyFont="1" applyFill="1" applyBorder="1"/>
    <xf numFmtId="165" fontId="13" fillId="2" borderId="0" xfId="2" applyNumberFormat="1" applyFont="1" applyFill="1" applyProtection="1">
      <protection locked="0"/>
    </xf>
    <xf numFmtId="165" fontId="13" fillId="3" borderId="9" xfId="2" applyNumberFormat="1" applyFont="1" applyFill="1" applyBorder="1"/>
    <xf numFmtId="165" fontId="13" fillId="3" borderId="0" xfId="2" applyNumberFormat="1" applyFont="1" applyFill="1"/>
    <xf numFmtId="0" fontId="23" fillId="5" borderId="0" xfId="3" applyFont="1" applyFill="1"/>
    <xf numFmtId="0" fontId="24" fillId="5" borderId="0" xfId="3" applyFont="1" applyFill="1"/>
    <xf numFmtId="0" fontId="24" fillId="5" borderId="0" xfId="3" applyFont="1" applyFill="1" applyAlignment="1">
      <alignment horizontal="center"/>
    </xf>
    <xf numFmtId="0" fontId="24" fillId="5" borderId="0" xfId="3" applyFont="1" applyFill="1" applyAlignment="1">
      <alignment wrapText="1"/>
    </xf>
    <xf numFmtId="0" fontId="24" fillId="5" borderId="0" xfId="3" applyFont="1" applyFill="1" applyAlignment="1">
      <alignment horizontal="center" wrapText="1"/>
    </xf>
    <xf numFmtId="0" fontId="24" fillId="0" borderId="0" xfId="3" applyFont="1"/>
    <xf numFmtId="0" fontId="24" fillId="0" borderId="0" xfId="3" applyFont="1" applyAlignment="1">
      <alignment horizontal="center"/>
    </xf>
    <xf numFmtId="0" fontId="22" fillId="6" borderId="0" xfId="3" applyFont="1" applyFill="1"/>
    <xf numFmtId="0" fontId="1" fillId="6" borderId="0" xfId="3" applyFill="1"/>
    <xf numFmtId="0" fontId="1" fillId="6" borderId="0" xfId="3" applyFill="1" applyAlignment="1">
      <alignment horizontal="center"/>
    </xf>
    <xf numFmtId="0" fontId="1" fillId="0" borderId="0" xfId="3"/>
    <xf numFmtId="0" fontId="25" fillId="0" borderId="0" xfId="3" applyFont="1" applyAlignment="1">
      <alignment horizontal="left" vertical="top" wrapText="1"/>
    </xf>
    <xf numFmtId="0" fontId="25" fillId="0" borderId="0" xfId="3" applyFont="1" applyAlignment="1">
      <alignment horizontal="center" vertical="top" wrapText="1"/>
    </xf>
    <xf numFmtId="0" fontId="27" fillId="0" borderId="12" xfId="3" applyFont="1" applyBorder="1" applyAlignment="1">
      <alignment horizontal="center" vertical="top" wrapText="1"/>
    </xf>
    <xf numFmtId="0" fontId="27" fillId="0" borderId="0" xfId="3" applyFont="1" applyAlignment="1">
      <alignment vertical="top" wrapText="1"/>
    </xf>
    <xf numFmtId="0" fontId="28" fillId="0" borderId="0" xfId="3" applyFont="1" applyAlignment="1">
      <alignment horizontal="center" vertical="top" wrapText="1"/>
    </xf>
    <xf numFmtId="0" fontId="28" fillId="0" borderId="0" xfId="3" quotePrefix="1" applyFont="1" applyAlignment="1">
      <alignment horizontal="center" vertical="top" wrapText="1"/>
    </xf>
    <xf numFmtId="0" fontId="29" fillId="0" borderId="0" xfId="3" applyFont="1" applyAlignment="1">
      <alignment horizontal="center" vertical="top" wrapText="1"/>
    </xf>
    <xf numFmtId="0" fontId="27" fillId="0" borderId="0" xfId="3" applyFont="1" applyAlignment="1">
      <alignment horizontal="center" vertical="top" wrapText="1"/>
    </xf>
    <xf numFmtId="0" fontId="25" fillId="0" borderId="0" xfId="3" applyFont="1" applyAlignment="1">
      <alignment vertical="top"/>
    </xf>
    <xf numFmtId="167" fontId="25" fillId="2" borderId="2" xfId="1" applyNumberFormat="1" applyFont="1" applyFill="1" applyBorder="1" applyAlignment="1" applyProtection="1">
      <alignment vertical="top"/>
      <protection locked="0"/>
    </xf>
    <xf numFmtId="167" fontId="25" fillId="0" borderId="0" xfId="1" applyNumberFormat="1" applyFont="1" applyAlignment="1" applyProtection="1">
      <alignment vertical="top"/>
    </xf>
    <xf numFmtId="167" fontId="25" fillId="0" borderId="0" xfId="1" quotePrefix="1" applyNumberFormat="1" applyFont="1" applyAlignment="1" applyProtection="1">
      <alignment vertical="top"/>
    </xf>
    <xf numFmtId="167" fontId="25" fillId="0" borderId="2" xfId="1" applyNumberFormat="1" applyFont="1" applyBorder="1" applyAlignment="1" applyProtection="1">
      <alignment vertical="top"/>
    </xf>
    <xf numFmtId="167" fontId="25" fillId="0" borderId="2" xfId="1" applyNumberFormat="1" applyFont="1" applyFill="1" applyBorder="1" applyAlignment="1" applyProtection="1">
      <alignment vertical="top"/>
    </xf>
    <xf numFmtId="167" fontId="30" fillId="0" borderId="2" xfId="1" applyNumberFormat="1" applyFont="1" applyBorder="1" applyAlignment="1" applyProtection="1">
      <alignment vertical="top"/>
    </xf>
    <xf numFmtId="0" fontId="25" fillId="0" borderId="0" xfId="3" applyFont="1" applyAlignment="1">
      <alignment horizontal="center" vertical="top"/>
    </xf>
    <xf numFmtId="0" fontId="31" fillId="0" borderId="0" xfId="3" applyFont="1" applyAlignment="1">
      <alignment vertical="top"/>
    </xf>
    <xf numFmtId="0" fontId="25" fillId="0" borderId="0" xfId="3" applyFont="1" applyAlignment="1">
      <alignment vertical="top" wrapText="1"/>
    </xf>
    <xf numFmtId="43" fontId="25" fillId="0" borderId="0" xfId="1" quotePrefix="1" applyFont="1" applyAlignment="1" applyProtection="1">
      <alignment vertical="top"/>
    </xf>
    <xf numFmtId="43" fontId="25" fillId="0" borderId="0" xfId="1" applyFont="1" applyAlignment="1" applyProtection="1">
      <alignment vertical="top"/>
    </xf>
    <xf numFmtId="0" fontId="27" fillId="0" borderId="0" xfId="3" applyFont="1" applyAlignment="1">
      <alignment horizontal="left" vertical="top" wrapText="1"/>
    </xf>
    <xf numFmtId="0" fontId="1" fillId="0" borderId="0" xfId="3" applyAlignment="1">
      <alignment horizontal="center"/>
    </xf>
    <xf numFmtId="167" fontId="1" fillId="0" borderId="2" xfId="1" applyNumberFormat="1" applyBorder="1" applyProtection="1"/>
    <xf numFmtId="0" fontId="29" fillId="0" borderId="0" xfId="3" applyFont="1"/>
    <xf numFmtId="0" fontId="30" fillId="0" borderId="0" xfId="3" applyFont="1" applyAlignment="1">
      <alignment vertical="top"/>
    </xf>
    <xf numFmtId="0" fontId="22" fillId="0" borderId="0" xfId="3" applyFont="1"/>
    <xf numFmtId="0" fontId="27" fillId="0" borderId="0" xfId="3" applyFont="1" applyAlignment="1">
      <alignment vertical="top"/>
    </xf>
    <xf numFmtId="0" fontId="6" fillId="0" borderId="13" xfId="0" applyFont="1" applyBorder="1" applyAlignment="1">
      <alignment horizontal="center" vertical="top" wrapText="1"/>
    </xf>
    <xf numFmtId="0" fontId="5" fillId="0" borderId="0" xfId="0" applyFont="1" applyAlignment="1">
      <alignment vertical="center"/>
    </xf>
    <xf numFmtId="0" fontId="2" fillId="0" borderId="0" xfId="0" applyFont="1" applyAlignment="1">
      <alignment vertical="top" wrapText="1"/>
    </xf>
    <xf numFmtId="0" fontId="33" fillId="0" borderId="0" xfId="0" applyFont="1" applyAlignment="1">
      <alignment horizontal="left"/>
    </xf>
    <xf numFmtId="0" fontId="34" fillId="0" borderId="0" xfId="0" applyFont="1" applyAlignment="1">
      <alignment vertical="top" wrapText="1"/>
    </xf>
    <xf numFmtId="0" fontId="6" fillId="0" borderId="0" xfId="0" applyFont="1" applyAlignment="1">
      <alignment vertical="center"/>
    </xf>
    <xf numFmtId="44" fontId="6" fillId="0" borderId="0" xfId="2" applyFont="1" applyProtection="1"/>
    <xf numFmtId="44" fontId="6" fillId="0" borderId="0" xfId="2" applyFont="1" applyFill="1" applyProtection="1"/>
    <xf numFmtId="165" fontId="6" fillId="0" borderId="0" xfId="0" applyNumberFormat="1" applyFont="1"/>
    <xf numFmtId="0" fontId="35" fillId="7" borderId="2" xfId="0" applyFont="1" applyFill="1" applyBorder="1" applyAlignment="1">
      <alignment horizontal="center" vertical="center"/>
    </xf>
    <xf numFmtId="0" fontId="36" fillId="0" borderId="14" xfId="0" applyFont="1" applyBorder="1" applyAlignment="1">
      <alignment vertical="center"/>
    </xf>
    <xf numFmtId="49" fontId="6" fillId="2" borderId="0" xfId="1" applyNumberFormat="1" applyFont="1" applyFill="1" applyBorder="1" applyAlignment="1" applyProtection="1">
      <protection locked="0"/>
    </xf>
    <xf numFmtId="0" fontId="0" fillId="0" borderId="0" xfId="0" quotePrefix="1"/>
    <xf numFmtId="0" fontId="0" fillId="0" borderId="0" xfId="0" applyAlignment="1">
      <alignment wrapText="1"/>
    </xf>
    <xf numFmtId="0" fontId="37" fillId="0" borderId="14" xfId="0" applyFont="1" applyBorder="1" applyAlignment="1">
      <alignment vertical="center" wrapText="1"/>
    </xf>
    <xf numFmtId="0" fontId="32" fillId="0" borderId="0" xfId="0" applyFont="1"/>
    <xf numFmtId="167" fontId="25" fillId="0" borderId="0" xfId="1" applyNumberFormat="1" applyFont="1" applyFill="1" applyBorder="1" applyAlignment="1" applyProtection="1">
      <alignment vertical="top"/>
      <protection locked="0"/>
    </xf>
    <xf numFmtId="167" fontId="25" fillId="0" borderId="0" xfId="1" applyNumberFormat="1" applyFont="1" applyAlignment="1" applyProtection="1">
      <alignment horizontal="center" vertical="top"/>
    </xf>
    <xf numFmtId="167" fontId="25" fillId="0" borderId="0" xfId="1" quotePrefix="1" applyNumberFormat="1" applyFont="1" applyFill="1" applyBorder="1" applyAlignment="1" applyProtection="1">
      <alignment horizontal="center" vertical="top"/>
      <protection locked="0"/>
    </xf>
    <xf numFmtId="167" fontId="25" fillId="0" borderId="0" xfId="1" quotePrefix="1" applyNumberFormat="1" applyFont="1" applyAlignment="1" applyProtection="1">
      <alignment horizontal="center" vertical="top"/>
    </xf>
    <xf numFmtId="0" fontId="28" fillId="0" borderId="0" xfId="3" applyFont="1" applyAlignment="1">
      <alignment horizontal="right" vertical="top" wrapText="1"/>
    </xf>
    <xf numFmtId="0" fontId="40" fillId="4" borderId="0" xfId="0" applyFont="1" applyFill="1" applyAlignment="1">
      <alignment horizontal="left"/>
    </xf>
    <xf numFmtId="165" fontId="40" fillId="4" borderId="0" xfId="0" applyNumberFormat="1" applyFont="1" applyFill="1"/>
    <xf numFmtId="165" fontId="41" fillId="4" borderId="0" xfId="0" applyNumberFormat="1" applyFont="1" applyFill="1"/>
    <xf numFmtId="165" fontId="41" fillId="4" borderId="0" xfId="2" applyNumberFormat="1" applyFont="1" applyFill="1" applyProtection="1"/>
    <xf numFmtId="165" fontId="41" fillId="4" borderId="0" xfId="0" applyNumberFormat="1" applyFont="1" applyFill="1" applyAlignment="1">
      <alignment horizontal="left"/>
    </xf>
    <xf numFmtId="0" fontId="42" fillId="0" borderId="0" xfId="0" applyFont="1" applyAlignment="1">
      <alignment horizontal="left" vertical="top"/>
    </xf>
    <xf numFmtId="0" fontId="43" fillId="0" borderId="0" xfId="0" applyFont="1" applyAlignment="1">
      <alignment vertical="top"/>
    </xf>
    <xf numFmtId="165" fontId="8" fillId="0" borderId="0" xfId="2" applyNumberFormat="1" applyFont="1" applyFill="1" applyProtection="1"/>
    <xf numFmtId="165" fontId="44" fillId="0" borderId="0" xfId="0" applyNumberFormat="1" applyFont="1" applyAlignment="1">
      <alignment horizontal="left"/>
    </xf>
    <xf numFmtId="165" fontId="45" fillId="0" borderId="0" xfId="0" applyNumberFormat="1" applyFont="1" applyAlignment="1">
      <alignment horizontal="left"/>
    </xf>
    <xf numFmtId="165" fontId="38" fillId="0" borderId="0" xfId="0" applyNumberFormat="1" applyFont="1" applyAlignment="1">
      <alignment horizontal="left"/>
    </xf>
    <xf numFmtId="0" fontId="47" fillId="0" borderId="0" xfId="0" applyFont="1" applyAlignment="1">
      <alignment horizontal="left" indent="1"/>
    </xf>
    <xf numFmtId="0" fontId="39" fillId="0" borderId="13" xfId="0" applyFont="1" applyBorder="1" applyAlignment="1">
      <alignment horizontal="center"/>
    </xf>
    <xf numFmtId="0" fontId="39" fillId="0" borderId="13" xfId="0" applyFont="1" applyBorder="1" applyAlignment="1">
      <alignment horizontal="center" vertical="top" wrapText="1"/>
    </xf>
    <xf numFmtId="165" fontId="39" fillId="0" borderId="0" xfId="2" applyNumberFormat="1" applyFont="1" applyAlignment="1" applyProtection="1">
      <alignment vertical="top"/>
    </xf>
    <xf numFmtId="44" fontId="38" fillId="0" borderId="0" xfId="2" applyFont="1" applyProtection="1"/>
    <xf numFmtId="0" fontId="39" fillId="0" borderId="0" xfId="0" applyFont="1" applyAlignment="1">
      <alignment vertical="top"/>
    </xf>
    <xf numFmtId="0" fontId="39" fillId="0" borderId="0" xfId="0" applyFont="1"/>
    <xf numFmtId="165" fontId="39" fillId="0" borderId="0" xfId="2" applyNumberFormat="1" applyFont="1" applyProtection="1"/>
    <xf numFmtId="165" fontId="38" fillId="0" borderId="0" xfId="0" applyNumberFormat="1" applyFont="1"/>
    <xf numFmtId="165" fontId="38" fillId="0" borderId="0" xfId="2" applyNumberFormat="1" applyFont="1" applyProtection="1"/>
    <xf numFmtId="165" fontId="2" fillId="0" borderId="0" xfId="0" applyNumberFormat="1" applyFont="1"/>
    <xf numFmtId="165" fontId="2" fillId="0" borderId="0" xfId="2" applyNumberFormat="1" applyFont="1" applyProtection="1"/>
    <xf numFmtId="165" fontId="2" fillId="0" borderId="0" xfId="0" applyNumberFormat="1" applyFont="1" applyAlignment="1">
      <alignment horizontal="left"/>
    </xf>
    <xf numFmtId="167" fontId="3" fillId="2" borderId="0" xfId="1" applyNumberFormat="1" applyFont="1" applyFill="1" applyProtection="1">
      <protection locked="0"/>
    </xf>
    <xf numFmtId="167" fontId="3" fillId="0" borderId="0" xfId="1" applyNumberFormat="1" applyFont="1" applyProtection="1"/>
    <xf numFmtId="167" fontId="3" fillId="0" borderId="0" xfId="1" applyNumberFormat="1" applyFont="1" applyFill="1" applyProtection="1"/>
    <xf numFmtId="167" fontId="3" fillId="2" borderId="0" xfId="1" applyNumberFormat="1" applyFont="1" applyFill="1" applyAlignment="1" applyProtection="1">
      <protection locked="0"/>
    </xf>
    <xf numFmtId="167" fontId="3" fillId="0" borderId="0" xfId="1" applyNumberFormat="1" applyFont="1"/>
    <xf numFmtId="167" fontId="3" fillId="0" borderId="0" xfId="1" applyNumberFormat="1" applyFont="1" applyAlignment="1">
      <alignment vertical="top"/>
    </xf>
    <xf numFmtId="165" fontId="3" fillId="0" borderId="0" xfId="2" applyNumberFormat="1" applyFont="1" applyProtection="1"/>
    <xf numFmtId="0" fontId="38" fillId="0" borderId="0" xfId="0" applyFont="1" applyAlignment="1">
      <alignment vertical="top" wrapText="1"/>
    </xf>
    <xf numFmtId="0" fontId="38" fillId="0" borderId="0" xfId="0" applyFont="1"/>
    <xf numFmtId="44" fontId="39" fillId="0" borderId="0" xfId="2" applyFont="1" applyProtection="1"/>
    <xf numFmtId="0" fontId="39" fillId="0" borderId="0" xfId="0" applyFont="1" applyAlignment="1">
      <alignment horizontal="left"/>
    </xf>
    <xf numFmtId="0" fontId="38" fillId="0" borderId="0" xfId="0" applyFont="1" applyAlignment="1">
      <alignment horizontal="left"/>
    </xf>
    <xf numFmtId="0" fontId="39" fillId="0" borderId="0" xfId="0" quotePrefix="1" applyFont="1" applyAlignment="1">
      <alignment horizontal="left"/>
    </xf>
    <xf numFmtId="165" fontId="39" fillId="0" borderId="0" xfId="2" applyNumberFormat="1" applyFont="1" applyAlignment="1" applyProtection="1">
      <alignment horizontal="left"/>
    </xf>
    <xf numFmtId="165" fontId="39" fillId="0" borderId="0" xfId="2" applyNumberFormat="1" applyFont="1" applyFill="1" applyProtection="1"/>
    <xf numFmtId="0" fontId="3" fillId="0" borderId="0" xfId="0" applyFont="1" applyAlignment="1">
      <alignment wrapText="1"/>
    </xf>
    <xf numFmtId="44" fontId="3" fillId="0" borderId="0" xfId="2" applyFont="1" applyProtection="1"/>
    <xf numFmtId="44" fontId="3" fillId="0" borderId="0" xfId="0" applyNumberFormat="1" applyFont="1" applyAlignment="1">
      <alignment horizontal="left"/>
    </xf>
    <xf numFmtId="0" fontId="44" fillId="0" borderId="0" xfId="0" applyFont="1" applyAlignment="1">
      <alignment horizontal="left"/>
    </xf>
    <xf numFmtId="44" fontId="2" fillId="0" borderId="0" xfId="2" applyFont="1" applyProtection="1"/>
    <xf numFmtId="165" fontId="2" fillId="0" borderId="0" xfId="2" applyNumberFormat="1" applyFont="1" applyFill="1" applyProtection="1"/>
    <xf numFmtId="44" fontId="2" fillId="0" borderId="0" xfId="2" applyFont="1" applyFill="1" applyProtection="1"/>
    <xf numFmtId="167" fontId="4" fillId="4" borderId="0" xfId="1" applyNumberFormat="1" applyFont="1" applyFill="1" applyAlignment="1">
      <alignment vertical="top"/>
    </xf>
    <xf numFmtId="0" fontId="39" fillId="0" borderId="2" xfId="0" applyFont="1" applyBorder="1" applyAlignment="1">
      <alignment horizontal="center" vertical="top"/>
    </xf>
    <xf numFmtId="167" fontId="4" fillId="0" borderId="0" xfId="0" applyNumberFormat="1" applyFont="1" applyAlignment="1">
      <alignment vertical="top"/>
    </xf>
    <xf numFmtId="167" fontId="4" fillId="0" borderId="0" xfId="1" applyNumberFormat="1" applyFont="1" applyFill="1" applyAlignment="1">
      <alignment vertical="top"/>
    </xf>
    <xf numFmtId="38" fontId="15" fillId="3" borderId="0" xfId="0" applyNumberFormat="1" applyFont="1" applyFill="1" applyAlignment="1">
      <alignment horizontal="center" wrapText="1"/>
    </xf>
    <xf numFmtId="38" fontId="48" fillId="3" borderId="0" xfId="0" applyNumberFormat="1" applyFont="1" applyFill="1" applyAlignment="1">
      <alignment horizontal="center" wrapText="1"/>
    </xf>
    <xf numFmtId="38" fontId="48" fillId="3" borderId="0" xfId="0" applyNumberFormat="1" applyFont="1" applyFill="1" applyAlignment="1">
      <alignment horizontal="center"/>
    </xf>
    <xf numFmtId="0" fontId="49" fillId="0" borderId="0" xfId="0" applyFont="1" applyAlignment="1">
      <alignment horizontal="right" vertical="top"/>
    </xf>
    <xf numFmtId="0" fontId="40" fillId="0" borderId="15" xfId="0" applyFont="1" applyBorder="1" applyAlignment="1">
      <alignment horizontal="left"/>
    </xf>
    <xf numFmtId="165" fontId="40" fillId="0" borderId="17" xfId="0" applyNumberFormat="1" applyFont="1" applyBorder="1"/>
    <xf numFmtId="165" fontId="41" fillId="0" borderId="17" xfId="0" applyNumberFormat="1" applyFont="1" applyBorder="1"/>
    <xf numFmtId="165" fontId="41" fillId="0" borderId="17" xfId="2" applyNumberFormat="1" applyFont="1" applyFill="1" applyBorder="1" applyProtection="1"/>
    <xf numFmtId="165" fontId="41" fillId="0" borderId="16" xfId="2" applyNumberFormat="1" applyFont="1" applyFill="1" applyBorder="1" applyProtection="1"/>
    <xf numFmtId="0" fontId="18" fillId="0" borderId="0" xfId="0" applyFont="1" applyAlignment="1">
      <alignment horizontal="right" vertical="top" wrapText="1"/>
    </xf>
    <xf numFmtId="165" fontId="50" fillId="0" borderId="0" xfId="0" applyNumberFormat="1" applyFont="1" applyAlignment="1">
      <alignment horizontal="left"/>
    </xf>
    <xf numFmtId="0" fontId="27" fillId="0" borderId="0" xfId="3" applyFont="1" applyAlignment="1">
      <alignment horizontal="center" vertical="top"/>
    </xf>
    <xf numFmtId="0" fontId="27" fillId="0" borderId="0" xfId="3" applyFont="1" applyAlignment="1">
      <alignment horizontal="left" vertical="top"/>
    </xf>
    <xf numFmtId="167" fontId="4" fillId="4" borderId="0" xfId="0" applyNumberFormat="1" applyFont="1" applyFill="1" applyAlignment="1">
      <alignment vertical="top"/>
    </xf>
    <xf numFmtId="0" fontId="7" fillId="0" borderId="0" xfId="0" applyFont="1" applyAlignment="1">
      <alignment horizontal="center" vertical="top"/>
    </xf>
    <xf numFmtId="0" fontId="51" fillId="0" borderId="0" xfId="0" applyFont="1" applyAlignment="1">
      <alignment vertical="top" wrapText="1"/>
    </xf>
    <xf numFmtId="0" fontId="52" fillId="0" borderId="0" xfId="0" applyFont="1" applyAlignment="1">
      <alignment vertical="top" wrapText="1"/>
    </xf>
    <xf numFmtId="0" fontId="51" fillId="0" borderId="0" xfId="0" applyFont="1" applyAlignment="1">
      <alignment vertical="top"/>
    </xf>
    <xf numFmtId="0" fontId="53" fillId="0" borderId="0" xfId="0" applyFont="1" applyAlignment="1">
      <alignment vertical="top"/>
    </xf>
    <xf numFmtId="0" fontId="52" fillId="0" borderId="0" xfId="0" applyFont="1" applyAlignment="1">
      <alignment horizontal="right" vertical="top" wrapText="1"/>
    </xf>
    <xf numFmtId="0" fontId="54" fillId="0" borderId="0" xfId="0" applyFont="1" applyAlignment="1">
      <alignment horizontal="left" vertical="top"/>
    </xf>
    <xf numFmtId="0" fontId="52" fillId="8" borderId="12" xfId="0" applyFont="1" applyFill="1" applyBorder="1" applyAlignment="1">
      <alignment vertical="top" wrapText="1"/>
    </xf>
    <xf numFmtId="167" fontId="3" fillId="4" borderId="0" xfId="1" applyNumberFormat="1" applyFont="1" applyFill="1" applyProtection="1"/>
    <xf numFmtId="167" fontId="4" fillId="4" borderId="0" xfId="1" applyNumberFormat="1" applyFont="1" applyFill="1" applyAlignment="1" applyProtection="1">
      <alignment vertical="top"/>
    </xf>
    <xf numFmtId="0" fontId="16" fillId="0" borderId="0" xfId="0" applyFont="1" applyAlignment="1">
      <alignment vertical="top"/>
    </xf>
    <xf numFmtId="0" fontId="49" fillId="0" borderId="0" xfId="0" applyFont="1" applyAlignment="1">
      <alignment vertical="top"/>
    </xf>
    <xf numFmtId="0" fontId="57" fillId="3" borderId="0" xfId="0" applyFont="1" applyFill="1"/>
    <xf numFmtId="44" fontId="6" fillId="0" borderId="0" xfId="2" applyFont="1"/>
    <xf numFmtId="0" fontId="29" fillId="0" borderId="0" xfId="3" applyFont="1" applyAlignment="1">
      <alignment horizontal="center" vertical="top"/>
    </xf>
    <xf numFmtId="167" fontId="4" fillId="0" borderId="0" xfId="1" applyNumberFormat="1" applyFont="1" applyFill="1" applyAlignment="1" applyProtection="1">
      <alignment vertical="top"/>
    </xf>
    <xf numFmtId="0" fontId="6" fillId="5" borderId="4" xfId="4" applyFont="1" applyFill="1" applyBorder="1" applyAlignment="1" applyProtection="1">
      <alignment vertical="top"/>
      <protection hidden="1"/>
    </xf>
    <xf numFmtId="0" fontId="4" fillId="5" borderId="4" xfId="5" applyFont="1" applyFill="1" applyBorder="1" applyProtection="1">
      <protection hidden="1"/>
    </xf>
    <xf numFmtId="38" fontId="6" fillId="5" borderId="4" xfId="1" applyNumberFormat="1" applyFont="1" applyFill="1" applyBorder="1" applyAlignment="1" applyProtection="1">
      <alignment vertical="top"/>
      <protection hidden="1"/>
    </xf>
    <xf numFmtId="0" fontId="6" fillId="5" borderId="5" xfId="4" applyFont="1" applyFill="1" applyBorder="1" applyAlignment="1" applyProtection="1">
      <alignment vertical="top"/>
      <protection hidden="1"/>
    </xf>
    <xf numFmtId="38" fontId="4" fillId="5" borderId="0" xfId="1" applyNumberFormat="1" applyFont="1" applyFill="1" applyBorder="1" applyAlignment="1" applyProtection="1">
      <alignment vertical="top"/>
      <protection hidden="1"/>
    </xf>
    <xf numFmtId="0" fontId="4" fillId="5" borderId="7" xfId="4" applyFont="1" applyFill="1" applyBorder="1" applyAlignment="1" applyProtection="1">
      <alignment vertical="top"/>
      <protection hidden="1"/>
    </xf>
    <xf numFmtId="0" fontId="6" fillId="0" borderId="24" xfId="4" applyFont="1" applyBorder="1" applyAlignment="1" applyProtection="1">
      <alignment horizontal="center"/>
      <protection hidden="1"/>
    </xf>
    <xf numFmtId="0" fontId="4" fillId="0" borderId="23" xfId="4" applyFont="1" applyBorder="1" applyAlignment="1" applyProtection="1">
      <alignment horizontal="center" vertical="top"/>
      <protection hidden="1"/>
    </xf>
    <xf numFmtId="0" fontId="6" fillId="0" borderId="25" xfId="4" applyFont="1" applyBorder="1" applyAlignment="1" applyProtection="1">
      <alignment horizontal="center" vertical="top" wrapText="1"/>
      <protection hidden="1"/>
    </xf>
    <xf numFmtId="0" fontId="4" fillId="0" borderId="1" xfId="4" applyFont="1" applyBorder="1" applyAlignment="1" applyProtection="1">
      <alignment vertical="top"/>
      <protection hidden="1"/>
    </xf>
    <xf numFmtId="44" fontId="4" fillId="0" borderId="0" xfId="7" applyFont="1" applyBorder="1" applyProtection="1">
      <protection hidden="1"/>
    </xf>
    <xf numFmtId="167" fontId="4" fillId="0" borderId="23" xfId="4" applyNumberFormat="1" applyFont="1" applyBorder="1" applyAlignment="1" applyProtection="1">
      <alignment vertical="top"/>
      <protection hidden="1"/>
    </xf>
    <xf numFmtId="0" fontId="6" fillId="0" borderId="1" xfId="4" applyFont="1" applyBorder="1" applyAlignment="1" applyProtection="1">
      <alignment vertical="top" wrapText="1"/>
      <protection hidden="1"/>
    </xf>
    <xf numFmtId="167" fontId="3" fillId="4" borderId="0" xfId="6" applyNumberFormat="1" applyFont="1" applyFill="1" applyBorder="1" applyProtection="1">
      <protection hidden="1"/>
    </xf>
    <xf numFmtId="165" fontId="6" fillId="0" borderId="0" xfId="7" applyNumberFormat="1" applyFont="1" applyFill="1" applyBorder="1" applyProtection="1">
      <protection hidden="1"/>
    </xf>
    <xf numFmtId="43" fontId="4" fillId="0" borderId="0" xfId="1" applyFont="1" applyBorder="1" applyAlignment="1" applyProtection="1">
      <alignment vertical="top"/>
      <protection hidden="1"/>
    </xf>
    <xf numFmtId="44" fontId="11" fillId="0" borderId="0" xfId="7" applyFont="1" applyBorder="1" applyProtection="1">
      <protection hidden="1"/>
    </xf>
    <xf numFmtId="0" fontId="4" fillId="0" borderId="23" xfId="4" applyFont="1" applyBorder="1" applyAlignment="1" applyProtection="1">
      <alignment vertical="top"/>
      <protection hidden="1"/>
    </xf>
    <xf numFmtId="0" fontId="4" fillId="0" borderId="1" xfId="4" applyFont="1" applyBorder="1" applyProtection="1">
      <protection hidden="1"/>
    </xf>
    <xf numFmtId="0" fontId="58" fillId="5" borderId="4" xfId="4" applyFont="1" applyFill="1" applyBorder="1" applyAlignment="1" applyProtection="1">
      <alignment horizontal="left" vertical="center"/>
      <protection hidden="1"/>
    </xf>
    <xf numFmtId="0" fontId="11" fillId="0" borderId="23" xfId="4" applyFont="1" applyBorder="1" applyAlignment="1" applyProtection="1">
      <alignment horizontal="left"/>
      <protection hidden="1"/>
    </xf>
    <xf numFmtId="0" fontId="49" fillId="0" borderId="23" xfId="4" applyFont="1" applyBorder="1" applyAlignment="1" applyProtection="1">
      <alignment horizontal="left" vertical="top" wrapText="1"/>
      <protection hidden="1"/>
    </xf>
    <xf numFmtId="0" fontId="6" fillId="0" borderId="1" xfId="4" applyFont="1" applyBorder="1" applyAlignment="1" applyProtection="1">
      <alignment horizontal="center" vertical="top" wrapText="1"/>
      <protection hidden="1"/>
    </xf>
    <xf numFmtId="165" fontId="4" fillId="0" borderId="0" xfId="7" applyNumberFormat="1" applyFont="1" applyFill="1" applyBorder="1" applyProtection="1">
      <protection hidden="1"/>
    </xf>
    <xf numFmtId="0" fontId="4" fillId="0" borderId="23" xfId="0" applyFont="1" applyBorder="1" applyAlignment="1">
      <alignment vertical="top"/>
    </xf>
    <xf numFmtId="0" fontId="6" fillId="0" borderId="23" xfId="4" applyFont="1" applyBorder="1" applyAlignment="1" applyProtection="1">
      <alignment horizontal="left" vertical="top"/>
      <protection hidden="1"/>
    </xf>
    <xf numFmtId="167" fontId="3" fillId="9" borderId="0" xfId="6" applyNumberFormat="1" applyFont="1" applyFill="1" applyBorder="1" applyProtection="1">
      <protection hidden="1"/>
    </xf>
    <xf numFmtId="0" fontId="3" fillId="0" borderId="0" xfId="4" applyFont="1" applyProtection="1">
      <protection hidden="1"/>
    </xf>
    <xf numFmtId="0" fontId="3" fillId="0" borderId="0" xfId="4" applyFont="1" applyAlignment="1" applyProtection="1">
      <alignment horizontal="left"/>
      <protection hidden="1"/>
    </xf>
    <xf numFmtId="0" fontId="4" fillId="0" borderId="0" xfId="4" applyFont="1" applyAlignment="1" applyProtection="1">
      <alignment vertical="top"/>
      <protection hidden="1"/>
    </xf>
    <xf numFmtId="0" fontId="11" fillId="0" borderId="0" xfId="4" applyFont="1" applyAlignment="1" applyProtection="1">
      <alignment horizontal="left"/>
      <protection hidden="1"/>
    </xf>
    <xf numFmtId="0" fontId="3" fillId="0" borderId="0" xfId="4" applyFont="1" applyAlignment="1" applyProtection="1">
      <alignment horizontal="center"/>
      <protection hidden="1"/>
    </xf>
    <xf numFmtId="0" fontId="4" fillId="0" borderId="0" xfId="4" applyFont="1" applyAlignment="1" applyProtection="1">
      <alignment horizontal="left" vertical="top"/>
      <protection hidden="1"/>
    </xf>
    <xf numFmtId="0" fontId="49" fillId="0" borderId="26" xfId="4" applyFont="1" applyBorder="1" applyAlignment="1" applyProtection="1">
      <alignment horizontal="left" vertical="top"/>
      <protection hidden="1"/>
    </xf>
    <xf numFmtId="0" fontId="49" fillId="0" borderId="23" xfId="4" applyFont="1" applyBorder="1" applyAlignment="1" applyProtection="1">
      <alignment horizontal="left" vertical="top"/>
      <protection hidden="1"/>
    </xf>
    <xf numFmtId="0" fontId="49" fillId="0" borderId="0" xfId="4" applyFont="1" applyAlignment="1" applyProtection="1">
      <alignment horizontal="left" vertical="top"/>
      <protection hidden="1"/>
    </xf>
    <xf numFmtId="0" fontId="49" fillId="0" borderId="26" xfId="4" applyFont="1" applyBorder="1" applyAlignment="1" applyProtection="1">
      <alignment vertical="top"/>
      <protection hidden="1"/>
    </xf>
    <xf numFmtId="0" fontId="49" fillId="0" borderId="0" xfId="4" applyFont="1" applyAlignment="1" applyProtection="1">
      <alignment vertical="top"/>
      <protection hidden="1"/>
    </xf>
    <xf numFmtId="0" fontId="49" fillId="0" borderId="23" xfId="4" applyFont="1" applyBorder="1" applyAlignment="1" applyProtection="1">
      <alignment vertical="top"/>
      <protection hidden="1"/>
    </xf>
    <xf numFmtId="0" fontId="6" fillId="0" borderId="0" xfId="4" applyFont="1" applyAlignment="1" applyProtection="1">
      <alignment horizontal="left" vertical="top"/>
      <protection hidden="1"/>
    </xf>
    <xf numFmtId="0" fontId="39" fillId="0" borderId="23" xfId="0" applyFont="1" applyBorder="1" applyAlignment="1">
      <alignment vertical="top"/>
    </xf>
    <xf numFmtId="0" fontId="4" fillId="0" borderId="17" xfId="0" applyFont="1" applyBorder="1" applyAlignment="1">
      <alignment vertical="top"/>
    </xf>
    <xf numFmtId="0" fontId="4" fillId="0" borderId="16" xfId="0" applyFont="1" applyBorder="1" applyAlignment="1">
      <alignment vertical="top"/>
    </xf>
    <xf numFmtId="0" fontId="56" fillId="0" borderId="15" xfId="4" applyFont="1" applyBorder="1" applyAlignment="1" applyProtection="1">
      <alignment horizontal="left" vertical="center"/>
      <protection hidden="1"/>
    </xf>
    <xf numFmtId="0" fontId="58" fillId="5" borderId="0" xfId="4" applyFont="1" applyFill="1" applyAlignment="1" applyProtection="1">
      <alignment horizontal="left" vertical="center"/>
      <protection hidden="1"/>
    </xf>
    <xf numFmtId="0" fontId="4" fillId="5" borderId="0" xfId="4" applyFont="1" applyFill="1" applyAlignment="1" applyProtection="1">
      <alignment vertical="top"/>
      <protection hidden="1"/>
    </xf>
    <xf numFmtId="0" fontId="4" fillId="5" borderId="0" xfId="5" applyFont="1" applyFill="1" applyProtection="1">
      <protection hidden="1"/>
    </xf>
    <xf numFmtId="0" fontId="6" fillId="0" borderId="0" xfId="4" applyFont="1" applyAlignment="1" applyProtection="1">
      <alignment horizontal="center"/>
      <protection hidden="1"/>
    </xf>
    <xf numFmtId="0" fontId="38" fillId="0" borderId="0" xfId="4" applyFont="1" applyAlignment="1" applyProtection="1">
      <alignment horizontal="left"/>
      <protection hidden="1"/>
    </xf>
    <xf numFmtId="0" fontId="40" fillId="0" borderId="0" xfId="4" applyFont="1" applyAlignment="1" applyProtection="1">
      <alignment horizontal="left"/>
      <protection hidden="1"/>
    </xf>
    <xf numFmtId="0" fontId="4" fillId="0" borderId="0" xfId="4" applyFont="1" applyAlignment="1" applyProtection="1">
      <alignment horizontal="center" vertical="top"/>
      <protection hidden="1"/>
    </xf>
    <xf numFmtId="167" fontId="4" fillId="0" borderId="0" xfId="4" applyNumberFormat="1" applyFont="1" applyAlignment="1" applyProtection="1">
      <alignment vertical="top"/>
      <protection hidden="1"/>
    </xf>
    <xf numFmtId="165" fontId="32" fillId="0" borderId="0" xfId="4" applyNumberFormat="1" applyFont="1" applyAlignment="1" applyProtection="1">
      <alignment horizontal="left"/>
      <protection hidden="1"/>
    </xf>
    <xf numFmtId="0" fontId="3" fillId="0" borderId="0" xfId="4" applyFont="1" applyAlignment="1" applyProtection="1">
      <alignment vertical="top" wrapText="1"/>
      <protection hidden="1"/>
    </xf>
    <xf numFmtId="165" fontId="38" fillId="0" borderId="0" xfId="4" applyNumberFormat="1" applyFont="1" applyAlignment="1" applyProtection="1">
      <alignment horizontal="left"/>
      <protection hidden="1"/>
    </xf>
    <xf numFmtId="165" fontId="44" fillId="0" borderId="0" xfId="4" applyNumberFormat="1" applyFont="1" applyProtection="1">
      <protection hidden="1"/>
    </xf>
    <xf numFmtId="165" fontId="49" fillId="0" borderId="0" xfId="4" applyNumberFormat="1" applyFont="1" applyAlignment="1" applyProtection="1">
      <alignment wrapText="1"/>
      <protection hidden="1"/>
    </xf>
    <xf numFmtId="0" fontId="3" fillId="0" borderId="0" xfId="4" applyFont="1" applyAlignment="1" applyProtection="1">
      <alignment horizontal="center" vertical="top" wrapText="1"/>
      <protection hidden="1"/>
    </xf>
    <xf numFmtId="0" fontId="2" fillId="0" borderId="0" xfId="4" applyFont="1" applyProtection="1">
      <protection hidden="1"/>
    </xf>
    <xf numFmtId="0" fontId="4" fillId="0" borderId="21" xfId="0" applyFont="1" applyBorder="1" applyAlignment="1">
      <alignment vertical="top"/>
    </xf>
    <xf numFmtId="0" fontId="4" fillId="0" borderId="12" xfId="0" applyFont="1" applyBorder="1" applyAlignment="1">
      <alignment vertical="top"/>
    </xf>
    <xf numFmtId="0" fontId="4" fillId="0" borderId="22" xfId="0" applyFont="1" applyBorder="1" applyAlignment="1">
      <alignment vertical="top"/>
    </xf>
    <xf numFmtId="167" fontId="4" fillId="9" borderId="0" xfId="1" applyNumberFormat="1" applyFont="1" applyFill="1" applyBorder="1" applyProtection="1">
      <protection locked="0" hidden="1"/>
    </xf>
    <xf numFmtId="167" fontId="4" fillId="4" borderId="0" xfId="1" applyNumberFormat="1" applyFont="1" applyFill="1" applyBorder="1" applyAlignment="1" applyProtection="1">
      <alignment vertical="top"/>
      <protection hidden="1"/>
    </xf>
    <xf numFmtId="165" fontId="10" fillId="0" borderId="0" xfId="0" applyNumberFormat="1" applyFont="1"/>
    <xf numFmtId="0" fontId="59" fillId="0" borderId="0" xfId="0" applyFont="1" applyAlignment="1">
      <alignment vertical="top"/>
    </xf>
    <xf numFmtId="0" fontId="11" fillId="0" borderId="15" xfId="0" applyFont="1" applyBorder="1" applyAlignment="1">
      <alignment horizontal="left"/>
    </xf>
    <xf numFmtId="165" fontId="41" fillId="0" borderId="16" xfId="0" applyNumberFormat="1" applyFont="1" applyBorder="1"/>
    <xf numFmtId="0" fontId="4" fillId="9" borderId="18" xfId="4" applyFont="1" applyFill="1" applyBorder="1" applyAlignment="1" applyProtection="1">
      <alignment vertical="top"/>
      <protection hidden="1"/>
    </xf>
    <xf numFmtId="164" fontId="38" fillId="9" borderId="19" xfId="4" quotePrefix="1" applyNumberFormat="1" applyFont="1" applyFill="1" applyBorder="1" applyAlignment="1" applyProtection="1">
      <alignment vertical="top"/>
      <protection hidden="1"/>
    </xf>
    <xf numFmtId="0" fontId="4" fillId="9" borderId="19" xfId="4" applyFont="1" applyFill="1" applyBorder="1" applyAlignment="1" applyProtection="1">
      <alignment vertical="top"/>
      <protection hidden="1"/>
    </xf>
    <xf numFmtId="164" fontId="11" fillId="9" borderId="19" xfId="4" quotePrefix="1" applyNumberFormat="1" applyFont="1" applyFill="1" applyBorder="1" applyAlignment="1" applyProtection="1">
      <alignment vertical="top"/>
      <protection hidden="1"/>
    </xf>
    <xf numFmtId="164" fontId="11" fillId="9" borderId="20" xfId="4" quotePrefix="1" applyNumberFormat="1" applyFont="1" applyFill="1" applyBorder="1" applyAlignment="1" applyProtection="1">
      <alignment vertical="top"/>
      <protection hidden="1"/>
    </xf>
    <xf numFmtId="0" fontId="17" fillId="0" borderId="1" xfId="0" applyFont="1" applyBorder="1"/>
    <xf numFmtId="0" fontId="4" fillId="0" borderId="23" xfId="0" applyFont="1" applyBorder="1"/>
    <xf numFmtId="0" fontId="4" fillId="0" borderId="1" xfId="0" applyFont="1" applyBorder="1"/>
    <xf numFmtId="0" fontId="39" fillId="0" borderId="23" xfId="0" applyFont="1" applyBorder="1"/>
    <xf numFmtId="0" fontId="4" fillId="0" borderId="21" xfId="0" applyFont="1" applyBorder="1"/>
    <xf numFmtId="0" fontId="4" fillId="0" borderId="12" xfId="0" applyFont="1" applyBorder="1"/>
    <xf numFmtId="0" fontId="4" fillId="0" borderId="22" xfId="0" applyFont="1" applyBorder="1"/>
    <xf numFmtId="167" fontId="6" fillId="0" borderId="0" xfId="1" applyNumberFormat="1" applyFont="1" applyFill="1" applyBorder="1" applyProtection="1">
      <protection hidden="1"/>
    </xf>
    <xf numFmtId="167" fontId="6" fillId="0" borderId="23" xfId="1" applyNumberFormat="1" applyFont="1" applyFill="1" applyBorder="1" applyProtection="1">
      <protection hidden="1"/>
    </xf>
    <xf numFmtId="0" fontId="6" fillId="0" borderId="0" xfId="4" applyFont="1" applyAlignment="1" applyProtection="1">
      <alignment vertical="top"/>
      <protection hidden="1"/>
    </xf>
    <xf numFmtId="165" fontId="3" fillId="0" borderId="0" xfId="4" applyNumberFormat="1" applyFont="1" applyAlignment="1" applyProtection="1">
      <alignment horizontal="left"/>
      <protection hidden="1"/>
    </xf>
    <xf numFmtId="167" fontId="4" fillId="0" borderId="0" xfId="1" applyNumberFormat="1" applyFont="1" applyBorder="1" applyAlignment="1">
      <alignment vertical="top"/>
    </xf>
    <xf numFmtId="167" fontId="11" fillId="0" borderId="0" xfId="1" applyNumberFormat="1" applyFont="1" applyBorder="1" applyAlignment="1" applyProtection="1">
      <alignment horizontal="left"/>
      <protection hidden="1"/>
    </xf>
    <xf numFmtId="167" fontId="3" fillId="9" borderId="0" xfId="1" applyNumberFormat="1" applyFont="1" applyFill="1" applyBorder="1" applyProtection="1">
      <protection hidden="1"/>
    </xf>
    <xf numFmtId="0" fontId="4" fillId="0" borderId="16" xfId="0" applyFont="1" applyBorder="1"/>
    <xf numFmtId="0" fontId="6" fillId="0" borderId="24" xfId="4" applyFont="1" applyBorder="1" applyAlignment="1" applyProtection="1">
      <alignment horizontal="left"/>
      <protection hidden="1"/>
    </xf>
    <xf numFmtId="0" fontId="2" fillId="4" borderId="6" xfId="4" applyFont="1" applyFill="1" applyBorder="1" applyAlignment="1">
      <alignment horizontal="left"/>
    </xf>
    <xf numFmtId="0" fontId="4" fillId="4" borderId="7" xfId="4" applyFont="1" applyFill="1" applyBorder="1"/>
    <xf numFmtId="0" fontId="4" fillId="4" borderId="6" xfId="4" applyFont="1" applyFill="1" applyBorder="1"/>
    <xf numFmtId="0" fontId="3" fillId="4" borderId="6" xfId="4" applyFont="1" applyFill="1" applyBorder="1" applyAlignment="1">
      <alignment horizontal="left"/>
    </xf>
    <xf numFmtId="0" fontId="3" fillId="5" borderId="6" xfId="4" applyFont="1" applyFill="1" applyBorder="1" applyAlignment="1">
      <alignment horizontal="left"/>
    </xf>
    <xf numFmtId="0" fontId="12" fillId="5" borderId="7" xfId="4" applyFont="1" applyFill="1" applyBorder="1" applyAlignment="1">
      <alignment horizontal="center"/>
    </xf>
    <xf numFmtId="0" fontId="4" fillId="5" borderId="27" xfId="4" applyFont="1" applyFill="1" applyBorder="1"/>
    <xf numFmtId="0" fontId="4" fillId="5" borderId="2" xfId="4" applyFont="1" applyFill="1" applyBorder="1"/>
    <xf numFmtId="0" fontId="4" fillId="5" borderId="28" xfId="4" applyFont="1" applyFill="1" applyBorder="1"/>
    <xf numFmtId="0" fontId="4" fillId="4" borderId="27" xfId="4" applyFont="1" applyFill="1" applyBorder="1"/>
    <xf numFmtId="167" fontId="3" fillId="9" borderId="2" xfId="6" applyNumberFormat="1" applyFont="1" applyFill="1" applyBorder="1" applyProtection="1">
      <protection hidden="1"/>
    </xf>
    <xf numFmtId="0" fontId="38" fillId="5" borderId="0" xfId="4" applyFont="1" applyFill="1" applyAlignment="1" applyProtection="1">
      <alignment horizontal="left"/>
      <protection hidden="1"/>
    </xf>
    <xf numFmtId="0" fontId="4" fillId="4" borderId="0" xfId="4" applyFont="1" applyFill="1"/>
    <xf numFmtId="167" fontId="3" fillId="9" borderId="28" xfId="6" applyNumberFormat="1" applyFont="1" applyFill="1" applyBorder="1" applyProtection="1">
      <protection hidden="1"/>
    </xf>
    <xf numFmtId="0" fontId="4" fillId="4" borderId="29" xfId="4" applyFont="1" applyFill="1" applyBorder="1"/>
    <xf numFmtId="167" fontId="3" fillId="9" borderId="30" xfId="6" applyNumberFormat="1" applyFont="1" applyFill="1" applyBorder="1" applyProtection="1">
      <protection hidden="1"/>
    </xf>
    <xf numFmtId="167" fontId="3" fillId="9" borderId="31" xfId="6" applyNumberFormat="1" applyFont="1" applyFill="1" applyBorder="1" applyProtection="1">
      <protection hidden="1"/>
    </xf>
    <xf numFmtId="0" fontId="12" fillId="0" borderId="0" xfId="0" applyFont="1" applyAlignment="1">
      <alignment horizontal="center"/>
    </xf>
    <xf numFmtId="164" fontId="3" fillId="0" borderId="0" xfId="0" applyNumberFormat="1" applyFont="1" applyAlignment="1">
      <alignment horizontal="left"/>
    </xf>
    <xf numFmtId="0" fontId="5" fillId="0" borderId="0" xfId="0" applyFont="1" applyAlignment="1">
      <alignment vertical="center" wrapText="1"/>
    </xf>
    <xf numFmtId="0" fontId="39" fillId="0" borderId="0" xfId="0" applyFont="1" applyAlignment="1">
      <alignment horizontal="center"/>
    </xf>
    <xf numFmtId="165" fontId="2" fillId="0" borderId="0" xfId="0" applyNumberFormat="1" applyFont="1" applyAlignment="1">
      <alignment horizontal="left" indent="1"/>
    </xf>
    <xf numFmtId="0" fontId="43" fillId="0" borderId="23" xfId="0" applyFont="1" applyBorder="1" applyAlignment="1">
      <alignment vertical="top"/>
    </xf>
    <xf numFmtId="0" fontId="6" fillId="0" borderId="0" xfId="0" applyFont="1" applyAlignment="1">
      <alignment horizontal="center" vertical="top" wrapText="1"/>
    </xf>
    <xf numFmtId="165" fontId="3" fillId="0" borderId="0" xfId="0" applyNumberFormat="1" applyFont="1" applyAlignment="1">
      <alignment horizontal="left" indent="1"/>
    </xf>
    <xf numFmtId="44" fontId="2" fillId="0" borderId="0" xfId="0" applyNumberFormat="1" applyFont="1"/>
    <xf numFmtId="167" fontId="4" fillId="0" borderId="0" xfId="1" applyNumberFormat="1" applyFont="1" applyBorder="1" applyAlignment="1" applyProtection="1">
      <alignment vertical="top"/>
    </xf>
    <xf numFmtId="0" fontId="10" fillId="0" borderId="0" xfId="0" applyFont="1" applyAlignment="1">
      <alignment vertical="top"/>
    </xf>
    <xf numFmtId="0" fontId="51" fillId="0" borderId="0" xfId="4" applyFont="1" applyAlignment="1">
      <alignment vertical="top" wrapText="1"/>
    </xf>
    <xf numFmtId="0" fontId="60" fillId="0" borderId="0" xfId="4" applyFont="1" applyAlignment="1" applyProtection="1">
      <alignment vertical="top"/>
      <protection hidden="1"/>
    </xf>
    <xf numFmtId="165" fontId="6" fillId="2" borderId="0" xfId="2" applyNumberFormat="1" applyFont="1" applyFill="1" applyAlignment="1" applyProtection="1">
      <alignment horizontal="left" vertical="top"/>
      <protection locked="0"/>
    </xf>
    <xf numFmtId="165" fontId="38" fillId="0" borderId="0" xfId="2" applyNumberFormat="1" applyFont="1" applyAlignment="1" applyProtection="1"/>
    <xf numFmtId="0" fontId="2" fillId="0" borderId="0" xfId="0" applyFont="1" applyAlignment="1">
      <alignment vertical="center" wrapText="1"/>
    </xf>
    <xf numFmtId="0" fontId="3" fillId="0" borderId="0" xfId="0" applyFont="1" applyAlignment="1">
      <alignment horizontal="left" vertical="top" wrapText="1"/>
    </xf>
    <xf numFmtId="0" fontId="3" fillId="0" borderId="0" xfId="0" applyFont="1" applyAlignment="1">
      <alignment horizontal="left" vertical="top"/>
    </xf>
    <xf numFmtId="0" fontId="6" fillId="0" borderId="0" xfId="0" applyFont="1" applyAlignment="1">
      <alignment horizontal="left" wrapText="1"/>
    </xf>
    <xf numFmtId="0" fontId="7" fillId="0" borderId="1" xfId="0" applyFont="1" applyBorder="1" applyAlignment="1">
      <alignment horizontal="center"/>
    </xf>
    <xf numFmtId="164" fontId="6" fillId="0" borderId="0" xfId="0" applyNumberFormat="1" applyFont="1" applyAlignment="1">
      <alignment horizontal="left"/>
    </xf>
    <xf numFmtId="0" fontId="61" fillId="0" borderId="0" xfId="0" applyFont="1"/>
    <xf numFmtId="0" fontId="4" fillId="4" borderId="6" xfId="0" applyFont="1" applyFill="1" applyBorder="1"/>
    <xf numFmtId="0" fontId="4" fillId="4" borderId="0" xfId="0" applyFont="1" applyFill="1"/>
    <xf numFmtId="0" fontId="4" fillId="4" borderId="7" xfId="0" applyFont="1" applyFill="1" applyBorder="1"/>
    <xf numFmtId="0" fontId="7" fillId="0" borderId="0" xfId="0" applyFont="1" applyAlignment="1">
      <alignment horizontal="center"/>
    </xf>
    <xf numFmtId="0" fontId="7" fillId="0" borderId="0" xfId="0" applyFont="1" applyAlignment="1">
      <alignment horizontal="left" vertical="top"/>
    </xf>
    <xf numFmtId="0" fontId="4" fillId="0" borderId="0" xfId="0" applyFont="1" applyAlignment="1">
      <alignment wrapText="1"/>
    </xf>
    <xf numFmtId="0" fontId="7" fillId="0" borderId="0" xfId="0" applyFont="1" applyAlignment="1">
      <alignment horizontal="left" vertical="top" wrapText="1"/>
    </xf>
    <xf numFmtId="0" fontId="3" fillId="4" borderId="0" xfId="4" applyFont="1" applyFill="1" applyAlignment="1">
      <alignment horizontal="left"/>
    </xf>
    <xf numFmtId="0" fontId="3" fillId="4" borderId="7" xfId="4" applyFont="1" applyFill="1" applyBorder="1" applyAlignment="1">
      <alignment horizontal="left"/>
    </xf>
    <xf numFmtId="164" fontId="3" fillId="4" borderId="0" xfId="4" applyNumberFormat="1" applyFont="1" applyFill="1" applyAlignment="1">
      <alignment horizontal="left"/>
    </xf>
    <xf numFmtId="164" fontId="3" fillId="4" borderId="7" xfId="4" applyNumberFormat="1" applyFont="1" applyFill="1" applyBorder="1" applyAlignment="1">
      <alignment horizontal="left"/>
    </xf>
    <xf numFmtId="0" fontId="4" fillId="5" borderId="6" xfId="4" applyFont="1" applyFill="1" applyBorder="1"/>
    <xf numFmtId="0" fontId="4" fillId="5" borderId="7" xfId="4" applyFont="1" applyFill="1" applyBorder="1"/>
    <xf numFmtId="0" fontId="38" fillId="0" borderId="0" xfId="0" applyFont="1" applyAlignment="1">
      <alignment horizontal="center"/>
    </xf>
    <xf numFmtId="167" fontId="4" fillId="0" borderId="0" xfId="1" applyNumberFormat="1" applyFont="1" applyAlignment="1" applyProtection="1">
      <alignment vertical="top"/>
      <protection hidden="1"/>
    </xf>
    <xf numFmtId="0" fontId="11" fillId="0" borderId="0" xfId="4" applyFont="1" applyAlignment="1" applyProtection="1">
      <alignment vertical="top"/>
      <protection hidden="1"/>
    </xf>
    <xf numFmtId="0" fontId="11" fillId="0" borderId="0" xfId="0" applyFont="1" applyAlignment="1">
      <alignment vertical="top"/>
    </xf>
    <xf numFmtId="0" fontId="11" fillId="0" borderId="0" xfId="4" applyFont="1" applyAlignment="1" applyProtection="1">
      <alignment horizontal="left" vertical="top"/>
      <protection hidden="1"/>
    </xf>
    <xf numFmtId="0" fontId="51" fillId="0" borderId="18" xfId="0" applyFont="1" applyBorder="1" applyAlignment="1">
      <alignment horizontal="left" vertical="top" wrapText="1"/>
    </xf>
    <xf numFmtId="0" fontId="51" fillId="0" borderId="19" xfId="0" applyFont="1" applyBorder="1" applyAlignment="1">
      <alignment horizontal="left" vertical="top" wrapText="1"/>
    </xf>
    <xf numFmtId="0" fontId="51" fillId="0" borderId="20" xfId="0" applyFont="1" applyBorder="1" applyAlignment="1">
      <alignment horizontal="left" vertical="top" wrapText="1"/>
    </xf>
    <xf numFmtId="0" fontId="51" fillId="0" borderId="21" xfId="0" applyFont="1" applyBorder="1" applyAlignment="1">
      <alignment horizontal="left" vertical="top" wrapText="1"/>
    </xf>
    <xf numFmtId="0" fontId="51" fillId="0" borderId="12" xfId="0" applyFont="1" applyBorder="1" applyAlignment="1">
      <alignment horizontal="left" vertical="top" wrapText="1"/>
    </xf>
    <xf numFmtId="0" fontId="51" fillId="0" borderId="22" xfId="0" applyFont="1" applyBorder="1" applyAlignment="1">
      <alignment horizontal="left" vertical="top" wrapText="1"/>
    </xf>
    <xf numFmtId="165" fontId="40" fillId="0" borderId="0" xfId="2" applyNumberFormat="1" applyFont="1" applyAlignment="1" applyProtection="1">
      <alignment horizontal="center"/>
    </xf>
    <xf numFmtId="165" fontId="62" fillId="0" borderId="0" xfId="4" applyNumberFormat="1" applyFont="1" applyAlignment="1" applyProtection="1">
      <alignment horizontal="left" vertical="top" wrapText="1"/>
      <protection hidden="1"/>
    </xf>
    <xf numFmtId="0" fontId="39" fillId="0" borderId="15" xfId="0" applyFont="1" applyBorder="1" applyAlignment="1">
      <alignment horizontal="center" vertical="top"/>
    </xf>
    <xf numFmtId="0" fontId="39" fillId="0" borderId="16" xfId="0" applyFont="1" applyBorder="1" applyAlignment="1">
      <alignment horizontal="center" vertical="top"/>
    </xf>
    <xf numFmtId="165" fontId="44" fillId="0" borderId="0" xfId="0" applyNumberFormat="1" applyFont="1" applyAlignment="1">
      <alignment horizontal="left" vertical="top" wrapText="1"/>
    </xf>
    <xf numFmtId="0" fontId="3" fillId="0" borderId="0" xfId="4" applyFont="1" applyAlignment="1" applyProtection="1">
      <alignment horizontal="left" vertical="top"/>
      <protection hidden="1"/>
    </xf>
    <xf numFmtId="0" fontId="11" fillId="0" borderId="1" xfId="4" applyFont="1" applyBorder="1" applyAlignment="1" applyProtection="1">
      <alignment horizontal="left"/>
      <protection hidden="1"/>
    </xf>
    <xf numFmtId="0" fontId="11" fillId="0" borderId="0" xfId="4" applyFont="1" applyAlignment="1" applyProtection="1">
      <alignment horizontal="left"/>
      <protection hidden="1"/>
    </xf>
    <xf numFmtId="0" fontId="11" fillId="0" borderId="23" xfId="4" applyFont="1" applyBorder="1" applyAlignment="1" applyProtection="1">
      <alignment horizontal="left"/>
      <protection hidden="1"/>
    </xf>
    <xf numFmtId="0" fontId="3" fillId="0" borderId="0" xfId="4" applyFont="1" applyAlignment="1" applyProtection="1">
      <alignment horizontal="center"/>
      <protection hidden="1"/>
    </xf>
    <xf numFmtId="0" fontId="46" fillId="0" borderId="0" xfId="0" applyFont="1" applyAlignment="1">
      <alignment horizontal="center" vertical="top" wrapText="1"/>
    </xf>
    <xf numFmtId="0" fontId="2" fillId="0" borderId="0" xfId="0" applyFont="1" applyAlignment="1">
      <alignment horizontal="left" vertical="top"/>
    </xf>
    <xf numFmtId="0" fontId="6" fillId="2" borderId="0" xfId="0" applyFont="1" applyFill="1" applyAlignment="1" applyProtection="1">
      <alignment horizontal="left" vertical="top"/>
      <protection locked="0"/>
    </xf>
    <xf numFmtId="49" fontId="6" fillId="2" borderId="0" xfId="1" applyNumberFormat="1" applyFont="1" applyFill="1" applyBorder="1" applyAlignment="1" applyProtection="1">
      <alignment horizontal="left"/>
      <protection locked="0"/>
    </xf>
    <xf numFmtId="164" fontId="6" fillId="2" borderId="0" xfId="0" quotePrefix="1" applyNumberFormat="1" applyFont="1" applyFill="1" applyAlignment="1" applyProtection="1">
      <alignment horizontal="left" vertical="top"/>
      <protection locked="0"/>
    </xf>
    <xf numFmtId="0" fontId="6" fillId="0" borderId="0" xfId="0" applyFont="1" applyAlignment="1">
      <alignment horizontal="left" vertical="top"/>
    </xf>
    <xf numFmtId="0" fontId="39" fillId="0" borderId="15" xfId="4" applyFont="1" applyBorder="1" applyAlignment="1" applyProtection="1">
      <alignment horizontal="center" vertical="top"/>
      <protection hidden="1"/>
    </xf>
    <xf numFmtId="0" fontId="39" fillId="0" borderId="16" xfId="4" applyFont="1" applyBorder="1" applyAlignment="1" applyProtection="1">
      <alignment horizontal="center" vertical="top"/>
      <protection hidden="1"/>
    </xf>
    <xf numFmtId="0" fontId="58" fillId="5" borderId="3" xfId="4" applyFont="1" applyFill="1" applyBorder="1" applyAlignment="1" applyProtection="1">
      <alignment horizontal="left" vertical="center"/>
      <protection hidden="1"/>
    </xf>
    <xf numFmtId="0" fontId="58" fillId="5" borderId="4" xfId="4" applyFont="1" applyFill="1" applyBorder="1" applyAlignment="1" applyProtection="1">
      <alignment horizontal="left" vertical="center"/>
      <protection hidden="1"/>
    </xf>
    <xf numFmtId="0" fontId="58" fillId="5" borderId="6" xfId="4" applyFont="1" applyFill="1" applyBorder="1" applyAlignment="1" applyProtection="1">
      <alignment horizontal="left" vertical="center"/>
      <protection hidden="1"/>
    </xf>
    <xf numFmtId="0" fontId="58" fillId="5" borderId="0" xfId="4" applyFont="1" applyFill="1" applyAlignment="1" applyProtection="1">
      <alignment horizontal="left" vertical="center"/>
      <protection hidden="1"/>
    </xf>
    <xf numFmtId="0" fontId="4" fillId="0" borderId="0" xfId="4" applyFont="1" applyAlignment="1" applyProtection="1">
      <alignment horizontal="left" vertical="top"/>
      <protection hidden="1"/>
    </xf>
    <xf numFmtId="44" fontId="6" fillId="2" borderId="0" xfId="2" applyFont="1" applyFill="1" applyAlignment="1" applyProtection="1">
      <alignment horizontal="left" vertical="top"/>
      <protection locked="0"/>
    </xf>
    <xf numFmtId="0" fontId="4" fillId="0" borderId="1" xfId="0" applyFont="1" applyBorder="1" applyAlignment="1">
      <alignment horizontal="left" wrapText="1"/>
    </xf>
    <xf numFmtId="0" fontId="4" fillId="0" borderId="0" xfId="0" applyFont="1" applyAlignment="1">
      <alignment horizontal="left" wrapText="1"/>
    </xf>
    <xf numFmtId="0" fontId="4" fillId="0" borderId="1" xfId="0" applyFont="1" applyBorder="1" applyAlignment="1">
      <alignment horizontal="left" vertical="top" wrapText="1"/>
    </xf>
    <xf numFmtId="0" fontId="4" fillId="0" borderId="0" xfId="0" applyFont="1" applyAlignment="1">
      <alignment horizontal="left" vertical="top" wrapText="1"/>
    </xf>
    <xf numFmtId="164" fontId="40" fillId="5" borderId="3" xfId="4" quotePrefix="1" applyNumberFormat="1" applyFont="1" applyFill="1" applyBorder="1" applyAlignment="1" applyProtection="1">
      <alignment horizontal="center" vertical="center"/>
      <protection hidden="1"/>
    </xf>
    <xf numFmtId="164" fontId="40" fillId="5" borderId="4" xfId="4" quotePrefix="1" applyNumberFormat="1" applyFont="1" applyFill="1" applyBorder="1" applyAlignment="1" applyProtection="1">
      <alignment horizontal="center" vertical="center"/>
      <protection hidden="1"/>
    </xf>
    <xf numFmtId="164" fontId="40" fillId="5" borderId="5" xfId="4" quotePrefix="1" applyNumberFormat="1" applyFont="1" applyFill="1" applyBorder="1" applyAlignment="1" applyProtection="1">
      <alignment horizontal="center" vertical="center"/>
      <protection hidden="1"/>
    </xf>
    <xf numFmtId="164" fontId="40" fillId="5" borderId="6" xfId="4" quotePrefix="1" applyNumberFormat="1" applyFont="1" applyFill="1" applyBorder="1" applyAlignment="1" applyProtection="1">
      <alignment horizontal="center" vertical="center"/>
      <protection hidden="1"/>
    </xf>
    <xf numFmtId="164" fontId="40" fillId="5" borderId="0" xfId="4" quotePrefix="1" applyNumberFormat="1" applyFont="1" applyFill="1" applyAlignment="1" applyProtection="1">
      <alignment horizontal="center" vertical="center"/>
      <protection hidden="1"/>
    </xf>
    <xf numFmtId="164" fontId="40" fillId="5" borderId="7" xfId="4" quotePrefix="1" applyNumberFormat="1" applyFont="1" applyFill="1" applyBorder="1" applyAlignment="1" applyProtection="1">
      <alignment horizontal="center" vertical="center"/>
      <protection hidden="1"/>
    </xf>
    <xf numFmtId="0" fontId="4" fillId="0" borderId="1" xfId="0" applyFont="1" applyBorder="1" applyAlignment="1">
      <alignment horizontal="left"/>
    </xf>
    <xf numFmtId="0" fontId="4" fillId="0" borderId="0" xfId="0" applyFont="1" applyAlignment="1">
      <alignment horizontal="left"/>
    </xf>
    <xf numFmtId="0" fontId="12" fillId="0" borderId="0" xfId="0" applyFont="1" applyAlignment="1">
      <alignment horizontal="center" wrapText="1"/>
    </xf>
    <xf numFmtId="0" fontId="12" fillId="0" borderId="0" xfId="0" applyFont="1" applyAlignment="1">
      <alignment horizontal="center"/>
    </xf>
    <xf numFmtId="0" fontId="3" fillId="0" borderId="0" xfId="0" applyFont="1" applyAlignment="1">
      <alignment horizontal="left"/>
    </xf>
    <xf numFmtId="0" fontId="7" fillId="0" borderId="0" xfId="0" applyFont="1" applyAlignment="1">
      <alignment horizontal="left"/>
    </xf>
    <xf numFmtId="164" fontId="3" fillId="0" borderId="0" xfId="0" applyNumberFormat="1" applyFont="1" applyAlignment="1">
      <alignment horizontal="left"/>
    </xf>
    <xf numFmtId="0" fontId="42" fillId="0" borderId="0" xfId="0" applyFont="1" applyAlignment="1">
      <alignment horizontal="left" vertical="top" wrapText="1"/>
    </xf>
    <xf numFmtId="0" fontId="46" fillId="0" borderId="0" xfId="0" applyFont="1" applyAlignment="1">
      <alignment horizontal="center" vertical="center" wrapText="1"/>
    </xf>
    <xf numFmtId="0" fontId="3" fillId="0" borderId="0" xfId="0" applyFont="1"/>
    <xf numFmtId="49" fontId="3" fillId="0" borderId="0" xfId="0" applyNumberFormat="1" applyFont="1" applyAlignment="1">
      <alignment horizontal="left"/>
    </xf>
    <xf numFmtId="0" fontId="3" fillId="0" borderId="0" xfId="0" applyFont="1" applyAlignment="1">
      <alignment vertical="top" wrapText="1"/>
    </xf>
    <xf numFmtId="0" fontId="3" fillId="0" borderId="0" xfId="0" applyFont="1" applyAlignment="1">
      <alignment horizontal="left" wrapText="1"/>
    </xf>
    <xf numFmtId="0" fontId="25" fillId="0" borderId="0" xfId="3" applyFont="1" applyAlignment="1">
      <alignment horizontal="left" vertical="top" wrapText="1"/>
    </xf>
    <xf numFmtId="0" fontId="26" fillId="2" borderId="0" xfId="3" applyFont="1" applyFill="1" applyAlignment="1">
      <alignment horizontal="left" vertical="top" wrapText="1"/>
    </xf>
    <xf numFmtId="0" fontId="27" fillId="0" borderId="12" xfId="3" applyFont="1" applyBorder="1" applyAlignment="1">
      <alignment horizontal="center" vertical="top"/>
    </xf>
    <xf numFmtId="0" fontId="27" fillId="0" borderId="12" xfId="3" applyFont="1" applyBorder="1" applyAlignment="1">
      <alignment horizontal="center" vertical="top" wrapText="1"/>
    </xf>
    <xf numFmtId="0" fontId="39" fillId="0" borderId="0" xfId="0" applyFont="1" applyAlignment="1">
      <alignment wrapText="1"/>
    </xf>
    <xf numFmtId="0" fontId="2" fillId="0" borderId="0" xfId="0" applyFont="1" applyAlignment="1">
      <alignment horizontal="left"/>
    </xf>
    <xf numFmtId="0" fontId="6" fillId="0" borderId="0" xfId="0" applyFont="1" applyAlignment="1">
      <alignment horizontal="left" vertical="center" wrapText="1"/>
    </xf>
    <xf numFmtId="0" fontId="12" fillId="0" borderId="12" xfId="0" applyFont="1" applyBorder="1" applyAlignment="1">
      <alignment horizontal="center" wrapText="1"/>
    </xf>
    <xf numFmtId="0" fontId="12" fillId="0" borderId="12" xfId="0" applyFont="1" applyBorder="1" applyAlignment="1">
      <alignment horizontal="center"/>
    </xf>
    <xf numFmtId="166" fontId="3" fillId="0" borderId="0" xfId="0" applyNumberFormat="1" applyFont="1" applyAlignment="1">
      <alignment horizontal="left"/>
    </xf>
    <xf numFmtId="0" fontId="3" fillId="0" borderId="0" xfId="0" applyFont="1" applyAlignment="1">
      <alignment horizontal="left" vertical="top" wrapText="1"/>
    </xf>
    <xf numFmtId="165" fontId="62" fillId="0" borderId="0" xfId="4" applyNumberFormat="1" applyFont="1" applyAlignment="1" applyProtection="1">
      <alignment horizontal="left" wrapText="1"/>
      <protection hidden="1"/>
    </xf>
    <xf numFmtId="0" fontId="44" fillId="0" borderId="0" xfId="0" applyFont="1" applyAlignment="1">
      <alignment horizontal="left" wrapText="1"/>
    </xf>
  </cellXfs>
  <cellStyles count="8">
    <cellStyle name="Comma" xfId="1" builtinId="3"/>
    <cellStyle name="Comma 5" xfId="6" xr:uid="{64F2F592-E8CF-4864-8ECF-8CFAB8897FF0}"/>
    <cellStyle name="Currency" xfId="2" builtinId="4"/>
    <cellStyle name="Currency 4" xfId="7" xr:uid="{80AB5368-B11F-40F1-9F03-CC4D8DD5911A}"/>
    <cellStyle name="Normal" xfId="0" builtinId="0"/>
    <cellStyle name="Normal 10" xfId="5" xr:uid="{C05092BA-EC7E-4DA3-901E-1BE728A46C12}"/>
    <cellStyle name="Normal 2" xfId="3" xr:uid="{00000000-0005-0000-0000-000003000000}"/>
    <cellStyle name="Normal 8" xfId="4" xr:uid="{A7BF327B-72C6-40BE-BF7E-FC5182499C2C}"/>
  </cellStyles>
  <dxfs count="17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5D9F1"/>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rgb="FFF8CBAD"/>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006100"/>
      </font>
      <fill>
        <patternFill>
          <bgColor rgb="FFC6EFCE"/>
        </patternFill>
      </fill>
    </dxf>
    <dxf>
      <font>
        <b/>
        <i val="0"/>
        <strike val="0"/>
        <color rgb="FFFF0000"/>
      </font>
      <fill>
        <patternFill>
          <bgColor theme="5" tint="0.39994506668294322"/>
        </patternFill>
      </fill>
    </dxf>
    <dxf>
      <fill>
        <patternFill>
          <bgColor theme="5" tint="0.59996337778862885"/>
        </patternFill>
      </fill>
    </dxf>
    <dxf>
      <font>
        <b/>
        <i val="0"/>
        <strike val="0"/>
        <color rgb="FFFF0000"/>
      </font>
      <fill>
        <patternFill>
          <bgColor theme="5" tint="0.39994506668294322"/>
        </patternFill>
      </fill>
    </dxf>
    <dxf>
      <fill>
        <patternFill>
          <bgColor theme="5" tint="0.59996337778862885"/>
        </patternFill>
      </fill>
    </dxf>
    <dxf>
      <font>
        <b/>
        <i val="0"/>
        <strike val="0"/>
        <color rgb="FFFF0000"/>
      </font>
      <fill>
        <patternFill>
          <bgColor theme="5" tint="0.39994506668294322"/>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ill>
        <patternFill>
          <bgColor rgb="FFC5D9F1"/>
        </patternFill>
      </fill>
    </dxf>
    <dxf>
      <font>
        <b/>
        <i val="0"/>
        <color rgb="FF007E39"/>
      </font>
      <fill>
        <patternFill>
          <bgColor rgb="FFFFFF00"/>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4B08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006100"/>
      </font>
      <fill>
        <patternFill>
          <bgColor rgb="FFC6EFCE"/>
        </patternFill>
      </fill>
    </dxf>
    <dxf>
      <font>
        <b/>
        <i val="0"/>
        <strike val="0"/>
        <color rgb="FFFF0000"/>
      </font>
      <fill>
        <patternFill>
          <bgColor theme="5" tint="0.39994506668294322"/>
        </patternFill>
      </fill>
    </dxf>
    <dxf>
      <font>
        <b/>
        <i val="0"/>
        <strike val="0"/>
        <color rgb="FFFF0000"/>
      </font>
      <fill>
        <patternFill>
          <bgColor theme="5" tint="0.39994506668294322"/>
        </patternFill>
      </fill>
    </dxf>
    <dxf>
      <font>
        <b/>
        <i val="0"/>
        <strike val="0"/>
        <color rgb="FFFF0000"/>
      </font>
      <fill>
        <patternFill>
          <bgColor theme="5" tint="0.39994506668294322"/>
        </patternFill>
      </fill>
    </dxf>
    <dxf>
      <font>
        <color rgb="FF9C0006"/>
      </font>
      <fill>
        <patternFill>
          <bgColor rgb="FFFFC7CE"/>
        </patternFill>
      </fill>
    </dxf>
    <dxf>
      <font>
        <color rgb="FF9C0006"/>
      </font>
      <fill>
        <patternFill>
          <bgColor rgb="FFFFC7CE"/>
        </patternFill>
      </fill>
    </dxf>
    <dxf>
      <fill>
        <patternFill>
          <bgColor rgb="FFC5D9F1"/>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dxf>
    <dxf>
      <font>
        <b/>
        <i val="0"/>
        <color rgb="FFFF0000"/>
      </font>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numFmt numFmtId="0" formatCode="General"/>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rgb="FFF8CBAD"/>
        </patternFill>
      </fill>
    </dxf>
    <dxf>
      <font>
        <b/>
        <i val="0"/>
        <color rgb="FFFF0000"/>
      </font>
      <fill>
        <patternFill>
          <bgColor theme="5" tint="0.59996337778862885"/>
        </patternFill>
      </fill>
    </dxf>
    <dxf>
      <font>
        <color rgb="FFFF0000"/>
      </font>
      <fill>
        <patternFill>
          <bgColor rgb="FFF4B084"/>
        </patternFill>
      </fill>
    </dxf>
  </dxfs>
  <tableStyles count="0" defaultTableStyle="TableStyleMedium2" defaultPivotStyle="PivotStyleLight16"/>
  <colors>
    <mruColors>
      <color rgb="FFF8CBAD"/>
      <color rgb="FFF4B084"/>
      <color rgb="FF007E39"/>
      <color rgb="FF7030A0"/>
      <color rgb="FFC5D9F1"/>
      <color rgb="FFC198E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H101"/>
  <sheetViews>
    <sheetView topLeftCell="E1" workbookViewId="0">
      <selection activeCell="H10" sqref="H10"/>
    </sheetView>
  </sheetViews>
  <sheetFormatPr defaultColWidth="9.140625" defaultRowHeight="15" x14ac:dyDescent="0.2"/>
  <cols>
    <col min="1" max="1" width="12.85546875" style="1" bestFit="1" customWidth="1"/>
    <col min="2" max="2" width="15.140625" style="1" bestFit="1" customWidth="1"/>
    <col min="3" max="3" width="12.5703125" style="1" bestFit="1" customWidth="1"/>
    <col min="4" max="4" width="9.140625" style="1"/>
    <col min="5" max="5" width="35.28515625" style="1" bestFit="1" customWidth="1"/>
    <col min="6" max="6" width="31.85546875" style="1" bestFit="1" customWidth="1"/>
    <col min="7" max="8" width="44.5703125" style="1" bestFit="1" customWidth="1"/>
    <col min="9" max="16384" width="9.140625" style="1"/>
  </cols>
  <sheetData>
    <row r="1" spans="1:8" ht="15.75" x14ac:dyDescent="0.25">
      <c r="A1" s="1" t="s">
        <v>22</v>
      </c>
      <c r="B1" s="1" t="s">
        <v>123</v>
      </c>
      <c r="C1" s="1" t="s">
        <v>125</v>
      </c>
      <c r="D1" s="1" t="s">
        <v>131</v>
      </c>
      <c r="E1" s="1" t="s">
        <v>162</v>
      </c>
      <c r="F1" s="148" t="s">
        <v>231</v>
      </c>
      <c r="G1" s="149" t="s">
        <v>1619</v>
      </c>
    </row>
    <row r="2" spans="1:8" ht="15.75" x14ac:dyDescent="0.25">
      <c r="A2" s="1" t="s">
        <v>23</v>
      </c>
      <c r="B2" s="1" t="s">
        <v>124</v>
      </c>
      <c r="C2" s="1" t="s">
        <v>126</v>
      </c>
      <c r="D2" s="1" t="s">
        <v>130</v>
      </c>
      <c r="E2" s="1" t="s">
        <v>141</v>
      </c>
      <c r="F2" s="148" t="s">
        <v>1620</v>
      </c>
      <c r="G2" t="s">
        <v>1621</v>
      </c>
      <c r="H2" t="s">
        <v>1639</v>
      </c>
    </row>
    <row r="3" spans="1:8" ht="15.75" x14ac:dyDescent="0.25">
      <c r="A3" s="1" t="s">
        <v>24</v>
      </c>
      <c r="E3" s="1" t="s">
        <v>140</v>
      </c>
      <c r="F3" s="148" t="s">
        <v>1622</v>
      </c>
      <c r="G3" t="s">
        <v>1623</v>
      </c>
      <c r="H3" t="s">
        <v>1640</v>
      </c>
    </row>
    <row r="4" spans="1:8" ht="15.75" x14ac:dyDescent="0.25">
      <c r="A4" s="1" t="s">
        <v>25</v>
      </c>
      <c r="F4" s="148" t="s">
        <v>1624</v>
      </c>
      <c r="G4" t="s">
        <v>1888</v>
      </c>
      <c r="H4" t="s">
        <v>1889</v>
      </c>
    </row>
    <row r="5" spans="1:8" ht="15.75" x14ac:dyDescent="0.25">
      <c r="A5" s="1" t="s">
        <v>26</v>
      </c>
      <c r="F5" s="148" t="s">
        <v>1625</v>
      </c>
      <c r="G5" t="s">
        <v>1626</v>
      </c>
      <c r="H5" t="s">
        <v>1641</v>
      </c>
    </row>
    <row r="6" spans="1:8" ht="15.75" x14ac:dyDescent="0.25">
      <c r="A6" s="1" t="s">
        <v>27</v>
      </c>
      <c r="F6" s="150" t="s">
        <v>324</v>
      </c>
      <c r="G6" t="s">
        <v>1627</v>
      </c>
      <c r="H6" t="s">
        <v>1642</v>
      </c>
    </row>
    <row r="7" spans="1:8" ht="15.75" x14ac:dyDescent="0.25">
      <c r="A7" s="1" t="s">
        <v>28</v>
      </c>
      <c r="F7" s="148" t="s">
        <v>1628</v>
      </c>
      <c r="G7" t="s">
        <v>1629</v>
      </c>
      <c r="H7" t="s">
        <v>1643</v>
      </c>
    </row>
    <row r="8" spans="1:8" ht="15.75" x14ac:dyDescent="0.25">
      <c r="A8" s="1" t="s">
        <v>29</v>
      </c>
      <c r="F8" s="148" t="s">
        <v>925</v>
      </c>
      <c r="G8" t="s">
        <v>1630</v>
      </c>
      <c r="H8" t="s">
        <v>1644</v>
      </c>
    </row>
    <row r="9" spans="1:8" ht="15.75" x14ac:dyDescent="0.25">
      <c r="A9" s="1" t="s">
        <v>30</v>
      </c>
      <c r="F9" s="148" t="s">
        <v>1631</v>
      </c>
      <c r="G9" t="s">
        <v>1632</v>
      </c>
      <c r="H9" t="s">
        <v>1645</v>
      </c>
    </row>
    <row r="10" spans="1:8" ht="15.75" x14ac:dyDescent="0.25">
      <c r="A10" s="1" t="s">
        <v>31</v>
      </c>
      <c r="F10" t="s">
        <v>1633</v>
      </c>
      <c r="G10" t="s">
        <v>1634</v>
      </c>
      <c r="H10" t="s">
        <v>1646</v>
      </c>
    </row>
    <row r="11" spans="1:8" x14ac:dyDescent="0.2">
      <c r="A11" s="1" t="s">
        <v>32</v>
      </c>
    </row>
    <row r="12" spans="1:8" x14ac:dyDescent="0.2">
      <c r="A12" s="1" t="s">
        <v>33</v>
      </c>
    </row>
    <row r="13" spans="1:8" x14ac:dyDescent="0.2">
      <c r="A13" s="1" t="s">
        <v>34</v>
      </c>
    </row>
    <row r="14" spans="1:8" x14ac:dyDescent="0.2">
      <c r="A14" s="1" t="s">
        <v>35</v>
      </c>
    </row>
    <row r="15" spans="1:8" x14ac:dyDescent="0.2">
      <c r="A15" s="1" t="s">
        <v>36</v>
      </c>
    </row>
    <row r="16" spans="1:8" x14ac:dyDescent="0.2">
      <c r="A16" s="1" t="s">
        <v>37</v>
      </c>
    </row>
    <row r="17" spans="1:1" x14ac:dyDescent="0.2">
      <c r="A17" s="1" t="s">
        <v>38</v>
      </c>
    </row>
    <row r="18" spans="1:1" x14ac:dyDescent="0.2">
      <c r="A18" s="1" t="s">
        <v>39</v>
      </c>
    </row>
    <row r="19" spans="1:1" x14ac:dyDescent="0.2">
      <c r="A19" s="1" t="s">
        <v>40</v>
      </c>
    </row>
    <row r="20" spans="1:1" x14ac:dyDescent="0.2">
      <c r="A20" s="1" t="s">
        <v>41</v>
      </c>
    </row>
    <row r="21" spans="1:1" x14ac:dyDescent="0.2">
      <c r="A21" s="1" t="s">
        <v>42</v>
      </c>
    </row>
    <row r="22" spans="1:1" x14ac:dyDescent="0.2">
      <c r="A22" s="1" t="s">
        <v>43</v>
      </c>
    </row>
    <row r="23" spans="1:1" x14ac:dyDescent="0.2">
      <c r="A23" s="1" t="s">
        <v>44</v>
      </c>
    </row>
    <row r="24" spans="1:1" x14ac:dyDescent="0.2">
      <c r="A24" s="1" t="s">
        <v>45</v>
      </c>
    </row>
    <row r="25" spans="1:1" x14ac:dyDescent="0.2">
      <c r="A25" s="1" t="s">
        <v>46</v>
      </c>
    </row>
    <row r="26" spans="1:1" x14ac:dyDescent="0.2">
      <c r="A26" s="1" t="s">
        <v>47</v>
      </c>
    </row>
    <row r="27" spans="1:1" x14ac:dyDescent="0.2">
      <c r="A27" s="1" t="s">
        <v>48</v>
      </c>
    </row>
    <row r="28" spans="1:1" x14ac:dyDescent="0.2">
      <c r="A28" s="1" t="s">
        <v>49</v>
      </c>
    </row>
    <row r="29" spans="1:1" x14ac:dyDescent="0.2">
      <c r="A29" s="1" t="s">
        <v>50</v>
      </c>
    </row>
    <row r="30" spans="1:1" x14ac:dyDescent="0.2">
      <c r="A30" s="1" t="s">
        <v>51</v>
      </c>
    </row>
    <row r="31" spans="1:1" x14ac:dyDescent="0.2">
      <c r="A31" s="1" t="s">
        <v>52</v>
      </c>
    </row>
    <row r="32" spans="1:1" x14ac:dyDescent="0.2">
      <c r="A32" s="1" t="s">
        <v>53</v>
      </c>
    </row>
    <row r="33" spans="1:1" x14ac:dyDescent="0.2">
      <c r="A33" s="1" t="s">
        <v>54</v>
      </c>
    </row>
    <row r="34" spans="1:1" x14ac:dyDescent="0.2">
      <c r="A34" s="1" t="s">
        <v>55</v>
      </c>
    </row>
    <row r="35" spans="1:1" x14ac:dyDescent="0.2">
      <c r="A35" s="1" t="s">
        <v>56</v>
      </c>
    </row>
    <row r="36" spans="1:1" x14ac:dyDescent="0.2">
      <c r="A36" s="1" t="s">
        <v>57</v>
      </c>
    </row>
    <row r="37" spans="1:1" x14ac:dyDescent="0.2">
      <c r="A37" s="1" t="s">
        <v>58</v>
      </c>
    </row>
    <row r="38" spans="1:1" x14ac:dyDescent="0.2">
      <c r="A38" s="1" t="s">
        <v>59</v>
      </c>
    </row>
    <row r="39" spans="1:1" x14ac:dyDescent="0.2">
      <c r="A39" s="1" t="s">
        <v>60</v>
      </c>
    </row>
    <row r="40" spans="1:1" x14ac:dyDescent="0.2">
      <c r="A40" s="1" t="s">
        <v>61</v>
      </c>
    </row>
    <row r="41" spans="1:1" x14ac:dyDescent="0.2">
      <c r="A41" s="1" t="s">
        <v>62</v>
      </c>
    </row>
    <row r="42" spans="1:1" x14ac:dyDescent="0.2">
      <c r="A42" s="1" t="s">
        <v>63</v>
      </c>
    </row>
    <row r="43" spans="1:1" x14ac:dyDescent="0.2">
      <c r="A43" s="1" t="s">
        <v>64</v>
      </c>
    </row>
    <row r="44" spans="1:1" x14ac:dyDescent="0.2">
      <c r="A44" s="1" t="s">
        <v>65</v>
      </c>
    </row>
    <row r="45" spans="1:1" x14ac:dyDescent="0.2">
      <c r="A45" s="1" t="s">
        <v>66</v>
      </c>
    </row>
    <row r="46" spans="1:1" x14ac:dyDescent="0.2">
      <c r="A46" s="1" t="s">
        <v>67</v>
      </c>
    </row>
    <row r="47" spans="1:1" x14ac:dyDescent="0.2">
      <c r="A47" s="1" t="s">
        <v>68</v>
      </c>
    </row>
    <row r="48" spans="1:1" x14ac:dyDescent="0.2">
      <c r="A48" s="1" t="s">
        <v>69</v>
      </c>
    </row>
    <row r="49" spans="1:1" x14ac:dyDescent="0.2">
      <c r="A49" s="1" t="s">
        <v>70</v>
      </c>
    </row>
    <row r="50" spans="1:1" x14ac:dyDescent="0.2">
      <c r="A50" s="1" t="s">
        <v>71</v>
      </c>
    </row>
    <row r="51" spans="1:1" x14ac:dyDescent="0.2">
      <c r="A51" s="1" t="s">
        <v>72</v>
      </c>
    </row>
    <row r="52" spans="1:1" x14ac:dyDescent="0.2">
      <c r="A52" s="1" t="s">
        <v>73</v>
      </c>
    </row>
    <row r="53" spans="1:1" x14ac:dyDescent="0.2">
      <c r="A53" s="1" t="s">
        <v>74</v>
      </c>
    </row>
    <row r="54" spans="1:1" x14ac:dyDescent="0.2">
      <c r="A54" s="1" t="s">
        <v>75</v>
      </c>
    </row>
    <row r="55" spans="1:1" x14ac:dyDescent="0.2">
      <c r="A55" s="1" t="s">
        <v>76</v>
      </c>
    </row>
    <row r="56" spans="1:1" x14ac:dyDescent="0.2">
      <c r="A56" s="1" t="s">
        <v>77</v>
      </c>
    </row>
    <row r="57" spans="1:1" x14ac:dyDescent="0.2">
      <c r="A57" s="1" t="s">
        <v>78</v>
      </c>
    </row>
    <row r="58" spans="1:1" x14ac:dyDescent="0.2">
      <c r="A58" s="1" t="s">
        <v>79</v>
      </c>
    </row>
    <row r="59" spans="1:1" x14ac:dyDescent="0.2">
      <c r="A59" s="1" t="s">
        <v>80</v>
      </c>
    </row>
    <row r="60" spans="1:1" x14ac:dyDescent="0.2">
      <c r="A60" s="1" t="s">
        <v>81</v>
      </c>
    </row>
    <row r="61" spans="1:1" x14ac:dyDescent="0.2">
      <c r="A61" s="1" t="s">
        <v>82</v>
      </c>
    </row>
    <row r="62" spans="1:1" x14ac:dyDescent="0.2">
      <c r="A62" s="1" t="s">
        <v>83</v>
      </c>
    </row>
    <row r="63" spans="1:1" x14ac:dyDescent="0.2">
      <c r="A63" s="1" t="s">
        <v>84</v>
      </c>
    </row>
    <row r="64" spans="1:1" x14ac:dyDescent="0.2">
      <c r="A64" s="1" t="s">
        <v>85</v>
      </c>
    </row>
    <row r="65" spans="1:1" x14ac:dyDescent="0.2">
      <c r="A65" s="1" t="s">
        <v>86</v>
      </c>
    </row>
    <row r="66" spans="1:1" x14ac:dyDescent="0.2">
      <c r="A66" s="1" t="s">
        <v>87</v>
      </c>
    </row>
    <row r="67" spans="1:1" x14ac:dyDescent="0.2">
      <c r="A67" s="1" t="s">
        <v>88</v>
      </c>
    </row>
    <row r="68" spans="1:1" x14ac:dyDescent="0.2">
      <c r="A68" s="1" t="s">
        <v>89</v>
      </c>
    </row>
    <row r="69" spans="1:1" x14ac:dyDescent="0.2">
      <c r="A69" s="1" t="s">
        <v>90</v>
      </c>
    </row>
    <row r="70" spans="1:1" x14ac:dyDescent="0.2">
      <c r="A70" s="1" t="s">
        <v>91</v>
      </c>
    </row>
    <row r="71" spans="1:1" x14ac:dyDescent="0.2">
      <c r="A71" s="1" t="s">
        <v>92</v>
      </c>
    </row>
    <row r="72" spans="1:1" x14ac:dyDescent="0.2">
      <c r="A72" s="1" t="s">
        <v>93</v>
      </c>
    </row>
    <row r="73" spans="1:1" x14ac:dyDescent="0.2">
      <c r="A73" s="1" t="s">
        <v>94</v>
      </c>
    </row>
    <row r="74" spans="1:1" x14ac:dyDescent="0.2">
      <c r="A74" s="1" t="s">
        <v>95</v>
      </c>
    </row>
    <row r="75" spans="1:1" x14ac:dyDescent="0.2">
      <c r="A75" s="1" t="s">
        <v>96</v>
      </c>
    </row>
    <row r="76" spans="1:1" x14ac:dyDescent="0.2">
      <c r="A76" s="1" t="s">
        <v>97</v>
      </c>
    </row>
    <row r="77" spans="1:1" x14ac:dyDescent="0.2">
      <c r="A77" s="1" t="s">
        <v>98</v>
      </c>
    </row>
    <row r="78" spans="1:1" x14ac:dyDescent="0.2">
      <c r="A78" s="1" t="s">
        <v>99</v>
      </c>
    </row>
    <row r="79" spans="1:1" x14ac:dyDescent="0.2">
      <c r="A79" s="1" t="s">
        <v>100</v>
      </c>
    </row>
    <row r="80" spans="1:1" x14ac:dyDescent="0.2">
      <c r="A80" s="1" t="s">
        <v>101</v>
      </c>
    </row>
    <row r="81" spans="1:1" x14ac:dyDescent="0.2">
      <c r="A81" s="1" t="s">
        <v>102</v>
      </c>
    </row>
    <row r="82" spans="1:1" x14ac:dyDescent="0.2">
      <c r="A82" s="1" t="s">
        <v>103</v>
      </c>
    </row>
    <row r="83" spans="1:1" x14ac:dyDescent="0.2">
      <c r="A83" s="1" t="s">
        <v>104</v>
      </c>
    </row>
    <row r="84" spans="1:1" x14ac:dyDescent="0.2">
      <c r="A84" s="1" t="s">
        <v>105</v>
      </c>
    </row>
    <row r="85" spans="1:1" x14ac:dyDescent="0.2">
      <c r="A85" s="1" t="s">
        <v>106</v>
      </c>
    </row>
    <row r="86" spans="1:1" x14ac:dyDescent="0.2">
      <c r="A86" s="1" t="s">
        <v>107</v>
      </c>
    </row>
    <row r="87" spans="1:1" x14ac:dyDescent="0.2">
      <c r="A87" s="1" t="s">
        <v>108</v>
      </c>
    </row>
    <row r="88" spans="1:1" x14ac:dyDescent="0.2">
      <c r="A88" s="1" t="s">
        <v>109</v>
      </c>
    </row>
    <row r="89" spans="1:1" x14ac:dyDescent="0.2">
      <c r="A89" s="1" t="s">
        <v>110</v>
      </c>
    </row>
    <row r="90" spans="1:1" x14ac:dyDescent="0.2">
      <c r="A90" s="1" t="s">
        <v>111</v>
      </c>
    </row>
    <row r="91" spans="1:1" x14ac:dyDescent="0.2">
      <c r="A91" s="1" t="s">
        <v>112</v>
      </c>
    </row>
    <row r="92" spans="1:1" x14ac:dyDescent="0.2">
      <c r="A92" s="1" t="s">
        <v>113</v>
      </c>
    </row>
    <row r="93" spans="1:1" x14ac:dyDescent="0.2">
      <c r="A93" s="1" t="s">
        <v>114</v>
      </c>
    </row>
    <row r="94" spans="1:1" x14ac:dyDescent="0.2">
      <c r="A94" s="1" t="s">
        <v>115</v>
      </c>
    </row>
    <row r="95" spans="1:1" x14ac:dyDescent="0.2">
      <c r="A95" s="1" t="s">
        <v>116</v>
      </c>
    </row>
    <row r="96" spans="1:1" x14ac:dyDescent="0.2">
      <c r="A96" s="1" t="s">
        <v>117</v>
      </c>
    </row>
    <row r="97" spans="1:1" x14ac:dyDescent="0.2">
      <c r="A97" s="1" t="s">
        <v>118</v>
      </c>
    </row>
    <row r="98" spans="1:1" x14ac:dyDescent="0.2">
      <c r="A98" s="1" t="s">
        <v>119</v>
      </c>
    </row>
    <row r="99" spans="1:1" x14ac:dyDescent="0.2">
      <c r="A99" s="1" t="s">
        <v>120</v>
      </c>
    </row>
    <row r="100" spans="1:1" x14ac:dyDescent="0.2">
      <c r="A100" s="1" t="s">
        <v>121</v>
      </c>
    </row>
    <row r="101" spans="1:1" x14ac:dyDescent="0.2">
      <c r="A101" s="1" t="s">
        <v>122</v>
      </c>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75DBFF"/>
    <pageSetUpPr fitToPage="1"/>
  </sheetPr>
  <dimension ref="A1:S103"/>
  <sheetViews>
    <sheetView zoomScale="70" zoomScaleNormal="70" workbookViewId="0">
      <selection sqref="A1:E1"/>
    </sheetView>
  </sheetViews>
  <sheetFormatPr defaultColWidth="9.140625" defaultRowHeight="15" x14ac:dyDescent="0.2"/>
  <cols>
    <col min="1" max="1" width="34.7109375" style="1" customWidth="1"/>
    <col min="2" max="3" width="36.5703125" style="1" customWidth="1"/>
    <col min="4" max="4" width="3.140625" style="1" customWidth="1"/>
    <col min="5" max="5" width="95.42578125" style="1" customWidth="1"/>
    <col min="6" max="9" width="8.28515625" style="1" customWidth="1"/>
    <col min="10" max="10" width="15.7109375" style="1" customWidth="1"/>
    <col min="11" max="12" width="25.7109375" style="1" customWidth="1"/>
    <col min="13" max="16384" width="9.140625" style="1"/>
  </cols>
  <sheetData>
    <row r="1" spans="1:19" ht="32.450000000000003" customHeight="1" x14ac:dyDescent="0.25">
      <c r="A1" s="431" t="s">
        <v>1882</v>
      </c>
      <c r="B1" s="431"/>
      <c r="C1" s="431"/>
      <c r="D1" s="431"/>
      <c r="E1" s="431"/>
      <c r="F1" s="358"/>
      <c r="G1" s="5"/>
      <c r="H1" s="5"/>
      <c r="I1" s="5"/>
      <c r="J1" s="5"/>
      <c r="K1" s="5"/>
      <c r="L1" s="5"/>
      <c r="M1" s="5"/>
      <c r="N1" s="5"/>
      <c r="O1" s="5"/>
      <c r="P1" s="5"/>
      <c r="Q1" s="5"/>
      <c r="R1" s="5"/>
      <c r="S1" s="5"/>
    </row>
    <row r="2" spans="1:19" ht="48" customHeight="1" x14ac:dyDescent="0.25">
      <c r="A2" s="430" t="s">
        <v>1880</v>
      </c>
      <c r="B2" s="430"/>
      <c r="C2" s="430"/>
      <c r="D2" s="430"/>
      <c r="E2" s="430"/>
      <c r="F2" s="88"/>
      <c r="G2" s="5"/>
      <c r="H2" s="5"/>
      <c r="I2" s="5"/>
      <c r="J2" s="5"/>
      <c r="K2" s="5"/>
      <c r="L2" s="5"/>
      <c r="M2" s="5"/>
      <c r="N2" s="5"/>
      <c r="O2" s="5"/>
      <c r="P2" s="5"/>
      <c r="Q2" s="5"/>
      <c r="R2" s="5"/>
      <c r="S2" s="5"/>
    </row>
    <row r="3" spans="1:19" ht="33" customHeight="1" x14ac:dyDescent="0.25">
      <c r="A3" s="446" t="s">
        <v>209</v>
      </c>
      <c r="B3" s="446"/>
      <c r="C3" s="446"/>
      <c r="E3" s="56"/>
      <c r="F3" s="56"/>
      <c r="G3" s="56"/>
      <c r="H3" s="56"/>
      <c r="I3" s="56"/>
      <c r="J3" s="56"/>
      <c r="K3" s="56"/>
      <c r="L3" s="56"/>
      <c r="M3" s="56"/>
      <c r="N3" s="56"/>
      <c r="O3" s="56"/>
      <c r="P3" s="6"/>
      <c r="Q3" s="6"/>
      <c r="R3" s="6"/>
      <c r="S3" s="6"/>
    </row>
    <row r="4" spans="1:19" ht="31.15" customHeight="1" x14ac:dyDescent="0.25">
      <c r="A4" s="435" t="s">
        <v>7</v>
      </c>
      <c r="B4" s="435"/>
      <c r="C4" s="435"/>
      <c r="E4" s="56"/>
      <c r="F4" s="56"/>
      <c r="G4" s="56"/>
      <c r="H4" s="56"/>
      <c r="I4" s="56"/>
      <c r="J4" s="56"/>
      <c r="K4" s="56"/>
      <c r="L4" s="56"/>
      <c r="M4" s="56"/>
      <c r="N4" s="56"/>
      <c r="O4" s="56"/>
      <c r="P4" s="6"/>
      <c r="Q4" s="6"/>
      <c r="R4" s="6"/>
      <c r="S4" s="6"/>
    </row>
    <row r="5" spans="1:19" ht="30.6" customHeight="1" thickBot="1" x14ac:dyDescent="0.3">
      <c r="A5" s="435" t="s">
        <v>9</v>
      </c>
      <c r="B5" s="435"/>
      <c r="C5" s="435"/>
      <c r="E5" s="56"/>
      <c r="F5" s="56"/>
      <c r="G5" s="56"/>
      <c r="H5" s="56"/>
      <c r="I5" s="56"/>
      <c r="J5" s="56"/>
      <c r="K5" s="56"/>
      <c r="L5" s="56"/>
      <c r="M5" s="56"/>
      <c r="N5" s="56"/>
      <c r="O5" s="56"/>
      <c r="P5" s="6"/>
      <c r="Q5" s="6"/>
      <c r="R5" s="6"/>
      <c r="S5" s="6"/>
    </row>
    <row r="6" spans="1:19" ht="15.75" x14ac:dyDescent="0.25">
      <c r="E6" s="56"/>
      <c r="F6" s="56"/>
      <c r="G6" s="56"/>
      <c r="H6" s="56"/>
      <c r="I6" s="56"/>
      <c r="J6" s="417" t="s">
        <v>1795</v>
      </c>
      <c r="K6" s="418"/>
      <c r="L6" s="419"/>
      <c r="M6" s="56"/>
      <c r="N6" s="56"/>
      <c r="O6" s="56"/>
      <c r="P6" s="6"/>
      <c r="Q6" s="6"/>
      <c r="R6" s="6"/>
      <c r="S6" s="6"/>
    </row>
    <row r="7" spans="1:19" ht="15.75" x14ac:dyDescent="0.25">
      <c r="D7" s="7"/>
      <c r="F7" s="360"/>
      <c r="G7" s="360"/>
      <c r="H7" s="360"/>
      <c r="I7" s="360"/>
      <c r="J7" s="420"/>
      <c r="K7" s="421"/>
      <c r="L7" s="422"/>
      <c r="M7" s="360"/>
      <c r="N7" s="360"/>
      <c r="O7" s="360"/>
      <c r="P7" s="6"/>
      <c r="Q7" s="6"/>
      <c r="R7" s="6"/>
      <c r="S7" s="6"/>
    </row>
    <row r="8" spans="1:19" ht="20.25" x14ac:dyDescent="0.3">
      <c r="A8" s="139" t="s">
        <v>5</v>
      </c>
      <c r="B8" s="5"/>
      <c r="C8" s="5"/>
      <c r="D8" s="7"/>
      <c r="F8" s="360"/>
      <c r="G8" s="360"/>
      <c r="H8" s="360"/>
      <c r="I8" s="360"/>
      <c r="J8" s="326" t="str">
        <f>A8</f>
        <v>I. Governmental funds</v>
      </c>
      <c r="K8" s="338"/>
      <c r="L8" s="327"/>
      <c r="M8" s="360"/>
      <c r="N8" s="360"/>
      <c r="O8" s="360"/>
      <c r="P8" s="6"/>
      <c r="Q8" s="6"/>
      <c r="R8" s="6"/>
      <c r="S8" s="6"/>
    </row>
    <row r="9" spans="1:19" ht="15.75" x14ac:dyDescent="0.25">
      <c r="A9" s="12" t="s">
        <v>12</v>
      </c>
      <c r="B9" s="427" t="str">
        <f>'LR-Fund #### Journal Entries'!$E$3</f>
        <v>2024–2025</v>
      </c>
      <c r="C9" s="427"/>
      <c r="D9" s="51"/>
      <c r="F9" s="360"/>
      <c r="G9" s="360"/>
      <c r="H9" s="360"/>
      <c r="I9" s="360"/>
      <c r="J9" s="328"/>
      <c r="K9" s="338"/>
      <c r="L9" s="327"/>
      <c r="M9" s="360"/>
      <c r="N9" s="360"/>
      <c r="O9" s="360"/>
      <c r="P9" s="6"/>
      <c r="Q9" s="6"/>
      <c r="R9" s="6"/>
      <c r="S9" s="6"/>
    </row>
    <row r="10" spans="1:19" ht="15.75" x14ac:dyDescent="0.25">
      <c r="A10" s="12" t="s">
        <v>207</v>
      </c>
      <c r="B10" s="445">
        <f>'LR-Fund #### Journal Entries'!$E$4</f>
        <v>0</v>
      </c>
      <c r="C10" s="445"/>
      <c r="D10" s="361"/>
      <c r="F10" s="38"/>
      <c r="G10" s="38"/>
      <c r="H10" s="38"/>
      <c r="I10" s="38"/>
      <c r="J10" s="328"/>
      <c r="K10" s="338"/>
      <c r="L10" s="327"/>
      <c r="M10" s="38"/>
      <c r="N10" s="38"/>
      <c r="O10" s="38"/>
      <c r="P10" s="6"/>
      <c r="Q10" s="6"/>
      <c r="R10" s="6"/>
      <c r="S10" s="6"/>
    </row>
    <row r="11" spans="1:19" ht="18" x14ac:dyDescent="0.25">
      <c r="A11" s="12" t="s">
        <v>206</v>
      </c>
      <c r="B11" s="433">
        <f>'LR-Fund #### Journal Entries'!E5</f>
        <v>0</v>
      </c>
      <c r="C11" s="427"/>
      <c r="D11" s="361"/>
      <c r="E11" s="378" t="str" cm="1">
        <f t="array" ref="E11">IF(AND(SUMPRODUCT(--ISNUMBER(B14:B37))&gt;0, OR(E18="", E22="")), "Please answer both questions below.", "")</f>
        <v/>
      </c>
      <c r="F11" s="5"/>
      <c r="G11" s="5"/>
      <c r="H11" s="5"/>
      <c r="I11" s="5"/>
      <c r="J11" s="329"/>
      <c r="K11" s="338"/>
      <c r="L11" s="327"/>
      <c r="M11" s="5"/>
      <c r="N11" s="5"/>
      <c r="O11" s="5"/>
      <c r="P11" s="5"/>
      <c r="Q11" s="5"/>
      <c r="R11" s="5"/>
      <c r="S11" s="5"/>
    </row>
    <row r="12" spans="1:19" ht="30" customHeight="1" x14ac:dyDescent="0.25">
      <c r="A12" s="443" t="s">
        <v>1744</v>
      </c>
      <c r="B12" s="444"/>
      <c r="C12" s="444"/>
      <c r="D12" s="343"/>
      <c r="F12" s="5"/>
      <c r="G12" s="5"/>
      <c r="H12" s="5"/>
      <c r="I12" s="5"/>
      <c r="J12" s="330"/>
      <c r="K12" s="337" t="s">
        <v>1796</v>
      </c>
      <c r="L12" s="331"/>
      <c r="M12" s="5"/>
      <c r="N12" s="5"/>
      <c r="O12" s="5"/>
      <c r="P12" s="5"/>
      <c r="Q12" s="5"/>
      <c r="R12" s="5"/>
      <c r="S12" s="5"/>
    </row>
    <row r="13" spans="1:19" ht="15.6" customHeight="1" x14ac:dyDescent="0.25">
      <c r="A13" s="77"/>
      <c r="B13" s="78" t="s">
        <v>128</v>
      </c>
      <c r="C13" s="78" t="s">
        <v>127</v>
      </c>
      <c r="D13" s="362"/>
      <c r="E13" s="56" t="str">
        <f>"All of this worksheet's questions are for Fiscal Year "&amp;$B$9&amp;":"</f>
        <v>All of this worksheet's questions are for Fiscal Year 2024–2025:</v>
      </c>
      <c r="F13" s="5"/>
      <c r="G13" s="5"/>
      <c r="H13" s="5"/>
      <c r="I13" s="5"/>
      <c r="J13" s="332"/>
      <c r="K13" s="333" t="str">
        <f>B13</f>
        <v>Principal Receipts</v>
      </c>
      <c r="L13" s="334" t="str">
        <f>C13</f>
        <v>Interest Receipts</v>
      </c>
      <c r="M13" s="5"/>
      <c r="N13" s="5"/>
      <c r="O13" s="5"/>
      <c r="P13" s="5"/>
      <c r="Q13" s="5"/>
      <c r="R13" s="5"/>
      <c r="S13" s="5"/>
    </row>
    <row r="14" spans="1:19" ht="15.75" x14ac:dyDescent="0.25">
      <c r="A14" s="77" t="str">
        <f>RIGHT(B9,4)&amp;"–"&amp;RIGHT(B9,4)+1</f>
        <v>2025–2026</v>
      </c>
      <c r="B14" s="2"/>
      <c r="C14" s="2"/>
      <c r="D14" s="79"/>
      <c r="E14" s="416" t="s">
        <v>216</v>
      </c>
      <c r="F14" s="5"/>
      <c r="G14" s="5"/>
      <c r="H14" s="5"/>
      <c r="I14" s="5"/>
      <c r="J14" s="335" t="str">
        <f>$A14</f>
        <v>2025–2026</v>
      </c>
      <c r="K14" s="336">
        <f>ROUND($B14,-3)</f>
        <v>0</v>
      </c>
      <c r="L14" s="339">
        <f>ROUND($C14,-3)</f>
        <v>0</v>
      </c>
      <c r="M14" s="5"/>
      <c r="N14" s="5"/>
      <c r="O14" s="5"/>
      <c r="P14" s="5"/>
      <c r="Q14" s="5"/>
      <c r="R14" s="5"/>
      <c r="S14" s="5"/>
    </row>
    <row r="15" spans="1:19" ht="15.75" x14ac:dyDescent="0.25">
      <c r="A15" s="77" t="str">
        <f>LEFT(A14,4)+1&amp;"–"&amp;RIGHT(A14,4)+1</f>
        <v>2026–2027</v>
      </c>
      <c r="B15" s="2"/>
      <c r="C15" s="2"/>
      <c r="D15" s="59"/>
      <c r="E15" s="416"/>
      <c r="F15" s="5"/>
      <c r="G15" s="5"/>
      <c r="H15" s="5"/>
      <c r="I15" s="5"/>
      <c r="J15" s="335" t="str">
        <f t="shared" ref="J15:J37" si="0">$A15</f>
        <v>2026–2027</v>
      </c>
      <c r="K15" s="336">
        <f t="shared" ref="K15:K37" si="1">ROUND($B15,-3)</f>
        <v>0</v>
      </c>
      <c r="L15" s="339">
        <f t="shared" ref="L15:L37" si="2">ROUND($C15,-3)</f>
        <v>0</v>
      </c>
      <c r="M15" s="5"/>
      <c r="N15" s="5"/>
      <c r="O15" s="5"/>
      <c r="P15" s="5"/>
      <c r="Q15" s="5"/>
      <c r="R15" s="5"/>
      <c r="S15" s="5"/>
    </row>
    <row r="16" spans="1:19" ht="15.75" x14ac:dyDescent="0.25">
      <c r="A16" s="77" t="str">
        <f>LEFT(A15,4)+1&amp;"–"&amp;RIGHT(A15,4)+1</f>
        <v>2027–2028</v>
      </c>
      <c r="B16" s="2"/>
      <c r="C16" s="2"/>
      <c r="D16" s="59"/>
      <c r="E16" s="416"/>
      <c r="F16" s="5"/>
      <c r="G16" s="5"/>
      <c r="H16" s="5"/>
      <c r="I16" s="5"/>
      <c r="J16" s="335" t="str">
        <f t="shared" si="0"/>
        <v>2027–2028</v>
      </c>
      <c r="K16" s="336">
        <f t="shared" si="1"/>
        <v>0</v>
      </c>
      <c r="L16" s="339">
        <f t="shared" si="2"/>
        <v>0</v>
      </c>
      <c r="M16" s="5"/>
      <c r="N16" s="5"/>
      <c r="O16" s="5"/>
      <c r="P16" s="5"/>
      <c r="Q16" s="5"/>
      <c r="R16" s="5"/>
      <c r="S16" s="5"/>
    </row>
    <row r="17" spans="1:19" ht="15.75" x14ac:dyDescent="0.25">
      <c r="A17" s="77" t="str">
        <f>LEFT(A16,4)+1&amp;"–"&amp;RIGHT(A16,4)+1</f>
        <v>2028–2029</v>
      </c>
      <c r="B17" s="2"/>
      <c r="C17" s="2"/>
      <c r="D17" s="59"/>
      <c r="E17" s="416"/>
      <c r="F17" s="5"/>
      <c r="G17" s="5"/>
      <c r="H17" s="5"/>
      <c r="I17" s="5"/>
      <c r="J17" s="335" t="str">
        <f t="shared" si="0"/>
        <v>2028–2029</v>
      </c>
      <c r="K17" s="336">
        <f t="shared" si="1"/>
        <v>0</v>
      </c>
      <c r="L17" s="339">
        <f t="shared" si="2"/>
        <v>0</v>
      </c>
      <c r="M17" s="5"/>
      <c r="N17" s="5"/>
      <c r="O17" s="5"/>
      <c r="P17" s="5"/>
      <c r="Q17" s="5"/>
      <c r="R17" s="5"/>
      <c r="S17" s="5"/>
    </row>
    <row r="18" spans="1:19" ht="15.75" x14ac:dyDescent="0.25">
      <c r="A18" s="77" t="str">
        <f>LEFT(A17,4)+1&amp;"–"&amp;RIGHT(A17,4)+1</f>
        <v>2029–2030</v>
      </c>
      <c r="B18" s="2"/>
      <c r="C18" s="2"/>
      <c r="D18" s="59"/>
      <c r="E18" s="87"/>
      <c r="F18" s="5"/>
      <c r="G18" s="80"/>
      <c r="H18" s="80"/>
      <c r="I18" s="5"/>
      <c r="J18" s="335" t="str">
        <f t="shared" si="0"/>
        <v>2029–2030</v>
      </c>
      <c r="K18" s="336">
        <f t="shared" si="1"/>
        <v>0</v>
      </c>
      <c r="L18" s="339">
        <f t="shared" si="2"/>
        <v>0</v>
      </c>
      <c r="M18" s="5"/>
      <c r="N18" s="5"/>
      <c r="O18" s="5"/>
      <c r="P18" s="5"/>
      <c r="Q18" s="5"/>
      <c r="R18" s="5"/>
      <c r="S18" s="5"/>
    </row>
    <row r="19" spans="1:19" ht="15.75" x14ac:dyDescent="0.25">
      <c r="A19" s="77" t="str">
        <f>LEFT(A18,4)+1&amp;"–"&amp;RIGHT(A18,4)+5</f>
        <v>2030–2035</v>
      </c>
      <c r="B19" s="2"/>
      <c r="C19" s="2"/>
      <c r="D19" s="59"/>
      <c r="E19" s="57" t="str">
        <f>"If yes, record the dollar amount of variable receipts below for fiscal year "&amp;$B$9&amp;":"</f>
        <v>If yes, record the dollar amount of variable receipts below for fiscal year 2024–2025:</v>
      </c>
      <c r="F19" s="5"/>
      <c r="G19" s="80"/>
      <c r="H19" s="80"/>
      <c r="I19" s="5"/>
      <c r="J19" s="335" t="str">
        <f t="shared" si="0"/>
        <v>2030–2035</v>
      </c>
      <c r="K19" s="336">
        <f t="shared" si="1"/>
        <v>0</v>
      </c>
      <c r="L19" s="339">
        <f t="shared" si="2"/>
        <v>0</v>
      </c>
      <c r="M19" s="5"/>
      <c r="N19" s="5"/>
      <c r="O19" s="5"/>
      <c r="P19" s="5"/>
      <c r="Q19" s="5"/>
      <c r="R19" s="5"/>
      <c r="S19" s="5"/>
    </row>
    <row r="20" spans="1:19" ht="15.6" customHeight="1" x14ac:dyDescent="0.25">
      <c r="A20" s="77" t="str">
        <f t="shared" ref="A20:A37" si="3">LEFT(A19,4)+5&amp;"–"&amp;RIGHT(A19,4)+5</f>
        <v>2035–2040</v>
      </c>
      <c r="B20" s="2"/>
      <c r="C20" s="2"/>
      <c r="D20" s="59"/>
      <c r="E20" s="356" t="str">
        <f>IF(E18="","",IF(E18="No",0,"Please enter the amount here."))</f>
        <v/>
      </c>
      <c r="F20" s="5"/>
      <c r="G20" s="80"/>
      <c r="H20" s="80"/>
      <c r="I20" s="5"/>
      <c r="J20" s="335" t="str">
        <f t="shared" si="0"/>
        <v>2035–2040</v>
      </c>
      <c r="K20" s="336">
        <f t="shared" si="1"/>
        <v>0</v>
      </c>
      <c r="L20" s="339">
        <f t="shared" si="2"/>
        <v>0</v>
      </c>
      <c r="M20" s="5"/>
      <c r="N20" s="5"/>
      <c r="O20" s="5"/>
      <c r="P20" s="5"/>
      <c r="Q20" s="5"/>
      <c r="R20" s="5"/>
      <c r="S20" s="5"/>
    </row>
    <row r="21" spans="1:19" x14ac:dyDescent="0.2">
      <c r="A21" s="77" t="str">
        <f t="shared" si="3"/>
        <v>2040–2045</v>
      </c>
      <c r="B21" s="2"/>
      <c r="C21" s="2"/>
      <c r="D21" s="59"/>
      <c r="E21" s="55" t="str">
        <f>"2. Did you grant any lease incentives to the lessee during fiscal year "&amp;$B$9&amp;"?"</f>
        <v>2. Did you grant any lease incentives to the lessee during fiscal year 2024–2025?</v>
      </c>
      <c r="G21" s="22"/>
      <c r="H21" s="22"/>
      <c r="J21" s="335" t="str">
        <f t="shared" si="0"/>
        <v>2040–2045</v>
      </c>
      <c r="K21" s="336">
        <f t="shared" si="1"/>
        <v>0</v>
      </c>
      <c r="L21" s="339">
        <f t="shared" si="2"/>
        <v>0</v>
      </c>
    </row>
    <row r="22" spans="1:19" x14ac:dyDescent="0.2">
      <c r="A22" s="77" t="str">
        <f t="shared" si="3"/>
        <v>2045–2050</v>
      </c>
      <c r="B22" s="2"/>
      <c r="C22" s="2"/>
      <c r="D22" s="59"/>
      <c r="E22" s="87"/>
      <c r="G22" s="22"/>
      <c r="H22" s="22"/>
      <c r="J22" s="335" t="str">
        <f t="shared" si="0"/>
        <v>2045–2050</v>
      </c>
      <c r="K22" s="336">
        <f t="shared" si="1"/>
        <v>0</v>
      </c>
      <c r="L22" s="339">
        <f t="shared" si="2"/>
        <v>0</v>
      </c>
    </row>
    <row r="23" spans="1:19" x14ac:dyDescent="0.2">
      <c r="A23" s="77" t="str">
        <f t="shared" si="3"/>
        <v>2050–2055</v>
      </c>
      <c r="B23" s="2"/>
      <c r="C23" s="2"/>
      <c r="D23" s="59"/>
      <c r="E23" s="57" t="str">
        <f>"If yes, record the amount below for fiscal year "&amp;$B$9&amp;":"</f>
        <v>If yes, record the amount below for fiscal year 2024–2025:</v>
      </c>
      <c r="G23" s="22"/>
      <c r="H23" s="22"/>
      <c r="J23" s="335" t="str">
        <f t="shared" si="0"/>
        <v>2050–2055</v>
      </c>
      <c r="K23" s="336">
        <f t="shared" si="1"/>
        <v>0</v>
      </c>
      <c r="L23" s="339">
        <f t="shared" si="2"/>
        <v>0</v>
      </c>
    </row>
    <row r="24" spans="1:19" x14ac:dyDescent="0.2">
      <c r="A24" s="77" t="str">
        <f t="shared" si="3"/>
        <v>2055–2060</v>
      </c>
      <c r="B24" s="2"/>
      <c r="C24" s="2"/>
      <c r="D24" s="59"/>
      <c r="E24" s="356" t="str">
        <f>IF(E22="","",IF(E22="No",0,"Please enter the amount here."))</f>
        <v/>
      </c>
      <c r="G24" s="22"/>
      <c r="J24" s="335" t="str">
        <f t="shared" si="0"/>
        <v>2055–2060</v>
      </c>
      <c r="K24" s="336">
        <f t="shared" si="1"/>
        <v>0</v>
      </c>
      <c r="L24" s="339">
        <f t="shared" si="2"/>
        <v>0</v>
      </c>
    </row>
    <row r="25" spans="1:19" x14ac:dyDescent="0.2">
      <c r="A25" s="77" t="str">
        <f t="shared" si="3"/>
        <v>2060–2065</v>
      </c>
      <c r="B25" s="2"/>
      <c r="C25" s="2"/>
      <c r="D25" s="59"/>
      <c r="E25" s="57"/>
      <c r="J25" s="335" t="str">
        <f t="shared" si="0"/>
        <v>2060–2065</v>
      </c>
      <c r="K25" s="336">
        <f t="shared" si="1"/>
        <v>0</v>
      </c>
      <c r="L25" s="339">
        <f t="shared" si="2"/>
        <v>0</v>
      </c>
    </row>
    <row r="26" spans="1:19" ht="15.75" x14ac:dyDescent="0.25">
      <c r="A26" s="77" t="str">
        <f t="shared" si="3"/>
        <v>2065–2070</v>
      </c>
      <c r="B26" s="2"/>
      <c r="C26" s="2"/>
      <c r="D26" s="59"/>
      <c r="E26" s="5"/>
      <c r="F26" s="5"/>
      <c r="G26" s="5"/>
      <c r="H26" s="5"/>
      <c r="I26" s="5"/>
      <c r="J26" s="335" t="str">
        <f t="shared" si="0"/>
        <v>2065–2070</v>
      </c>
      <c r="K26" s="336">
        <f t="shared" si="1"/>
        <v>0</v>
      </c>
      <c r="L26" s="339">
        <f t="shared" si="2"/>
        <v>0</v>
      </c>
      <c r="M26" s="5"/>
      <c r="N26" s="5"/>
      <c r="O26" s="5"/>
      <c r="P26" s="5"/>
      <c r="Q26" s="5"/>
      <c r="R26" s="5"/>
      <c r="S26" s="5"/>
    </row>
    <row r="27" spans="1:19" ht="15.75" x14ac:dyDescent="0.25">
      <c r="A27" s="77" t="str">
        <f t="shared" si="3"/>
        <v>2070–2075</v>
      </c>
      <c r="B27" s="2"/>
      <c r="C27" s="2"/>
      <c r="D27" s="59"/>
      <c r="E27" s="5"/>
      <c r="F27" s="5"/>
      <c r="G27" s="5"/>
      <c r="H27" s="5"/>
      <c r="I27" s="5"/>
      <c r="J27" s="335" t="str">
        <f t="shared" si="0"/>
        <v>2070–2075</v>
      </c>
      <c r="K27" s="336">
        <f t="shared" si="1"/>
        <v>0</v>
      </c>
      <c r="L27" s="339">
        <f t="shared" si="2"/>
        <v>0</v>
      </c>
      <c r="M27" s="5"/>
      <c r="N27" s="5"/>
      <c r="O27" s="5"/>
      <c r="P27" s="5"/>
      <c r="Q27" s="5"/>
      <c r="R27" s="5"/>
      <c r="S27" s="5"/>
    </row>
    <row r="28" spans="1:19" x14ac:dyDescent="0.2">
      <c r="A28" s="77" t="str">
        <f t="shared" si="3"/>
        <v>2075–2080</v>
      </c>
      <c r="B28" s="2"/>
      <c r="C28" s="2"/>
      <c r="D28" s="59"/>
      <c r="E28" s="11"/>
      <c r="J28" s="335" t="str">
        <f t="shared" si="0"/>
        <v>2075–2080</v>
      </c>
      <c r="K28" s="336">
        <f t="shared" si="1"/>
        <v>0</v>
      </c>
      <c r="L28" s="339">
        <f t="shared" si="2"/>
        <v>0</v>
      </c>
    </row>
    <row r="29" spans="1:19" x14ac:dyDescent="0.2">
      <c r="A29" s="77" t="str">
        <f t="shared" si="3"/>
        <v>2080–2085</v>
      </c>
      <c r="B29" s="2"/>
      <c r="C29" s="2"/>
      <c r="D29" s="59"/>
      <c r="E29" s="363"/>
      <c r="J29" s="335" t="str">
        <f t="shared" si="0"/>
        <v>2080–2085</v>
      </c>
      <c r="K29" s="336">
        <f t="shared" si="1"/>
        <v>0</v>
      </c>
      <c r="L29" s="339">
        <f t="shared" si="2"/>
        <v>0</v>
      </c>
    </row>
    <row r="30" spans="1:19" x14ac:dyDescent="0.2">
      <c r="A30" s="77" t="str">
        <f t="shared" si="3"/>
        <v>2085–2090</v>
      </c>
      <c r="B30" s="2"/>
      <c r="C30" s="2"/>
      <c r="D30" s="59"/>
      <c r="E30" s="7"/>
      <c r="F30" s="54"/>
      <c r="G30" s="54"/>
      <c r="H30" s="54"/>
      <c r="I30" s="54"/>
      <c r="J30" s="335" t="str">
        <f t="shared" si="0"/>
        <v>2085–2090</v>
      </c>
      <c r="K30" s="336">
        <f t="shared" si="1"/>
        <v>0</v>
      </c>
      <c r="L30" s="339">
        <f t="shared" si="2"/>
        <v>0</v>
      </c>
      <c r="M30" s="54"/>
      <c r="N30" s="54"/>
      <c r="O30" s="54"/>
      <c r="P30" s="54"/>
    </row>
    <row r="31" spans="1:19" x14ac:dyDescent="0.2">
      <c r="A31" s="77" t="str">
        <f t="shared" si="3"/>
        <v>2090–2095</v>
      </c>
      <c r="B31" s="2"/>
      <c r="C31" s="2"/>
      <c r="D31" s="59"/>
      <c r="E31" s="7"/>
      <c r="F31" s="54"/>
      <c r="G31" s="54"/>
      <c r="H31" s="54"/>
      <c r="I31" s="54"/>
      <c r="J31" s="335" t="str">
        <f t="shared" si="0"/>
        <v>2090–2095</v>
      </c>
      <c r="K31" s="336">
        <f t="shared" si="1"/>
        <v>0</v>
      </c>
      <c r="L31" s="339">
        <f t="shared" si="2"/>
        <v>0</v>
      </c>
      <c r="M31" s="54"/>
      <c r="N31" s="54"/>
      <c r="O31" s="54"/>
      <c r="P31" s="54"/>
    </row>
    <row r="32" spans="1:19" x14ac:dyDescent="0.2">
      <c r="A32" s="77" t="str">
        <f t="shared" si="3"/>
        <v>2095–2100</v>
      </c>
      <c r="B32" s="2"/>
      <c r="C32" s="2"/>
      <c r="D32" s="59"/>
      <c r="E32" s="7"/>
      <c r="F32" s="7"/>
      <c r="G32" s="7"/>
      <c r="H32" s="7"/>
      <c r="I32" s="7"/>
      <c r="J32" s="335" t="str">
        <f t="shared" si="0"/>
        <v>2095–2100</v>
      </c>
      <c r="K32" s="336">
        <f t="shared" si="1"/>
        <v>0</v>
      </c>
      <c r="L32" s="339">
        <f t="shared" si="2"/>
        <v>0</v>
      </c>
      <c r="M32" s="7"/>
      <c r="N32" s="7"/>
      <c r="O32" s="7"/>
      <c r="P32" s="7"/>
      <c r="Q32" s="7"/>
      <c r="R32" s="7"/>
      <c r="S32" s="7"/>
    </row>
    <row r="33" spans="1:19" x14ac:dyDescent="0.2">
      <c r="A33" s="77" t="str">
        <f t="shared" si="3"/>
        <v>2100–2105</v>
      </c>
      <c r="B33" s="2"/>
      <c r="C33" s="2"/>
      <c r="D33" s="59"/>
      <c r="E33" s="7"/>
      <c r="F33" s="7"/>
      <c r="G33" s="7"/>
      <c r="H33" s="7"/>
      <c r="I33" s="7"/>
      <c r="J33" s="335" t="str">
        <f t="shared" si="0"/>
        <v>2100–2105</v>
      </c>
      <c r="K33" s="336">
        <f t="shared" si="1"/>
        <v>0</v>
      </c>
      <c r="L33" s="339">
        <f t="shared" si="2"/>
        <v>0</v>
      </c>
      <c r="M33" s="7"/>
      <c r="N33" s="7"/>
      <c r="O33" s="7"/>
      <c r="P33" s="7"/>
      <c r="Q33" s="7"/>
      <c r="R33" s="7"/>
      <c r="S33" s="7"/>
    </row>
    <row r="34" spans="1:19" x14ac:dyDescent="0.2">
      <c r="A34" s="77" t="str">
        <f t="shared" si="3"/>
        <v>2105–2110</v>
      </c>
      <c r="B34" s="2"/>
      <c r="C34" s="2"/>
      <c r="D34" s="59"/>
      <c r="J34" s="335" t="str">
        <f t="shared" si="0"/>
        <v>2105–2110</v>
      </c>
      <c r="K34" s="336">
        <f t="shared" si="1"/>
        <v>0</v>
      </c>
      <c r="L34" s="339">
        <f t="shared" si="2"/>
        <v>0</v>
      </c>
    </row>
    <row r="35" spans="1:19" x14ac:dyDescent="0.2">
      <c r="A35" s="77" t="str">
        <f t="shared" si="3"/>
        <v>2110–2115</v>
      </c>
      <c r="B35" s="2"/>
      <c r="C35" s="2"/>
      <c r="D35" s="59"/>
      <c r="J35" s="335" t="str">
        <f t="shared" si="0"/>
        <v>2110–2115</v>
      </c>
      <c r="K35" s="336">
        <f t="shared" si="1"/>
        <v>0</v>
      </c>
      <c r="L35" s="339">
        <f t="shared" si="2"/>
        <v>0</v>
      </c>
    </row>
    <row r="36" spans="1:19" x14ac:dyDescent="0.2">
      <c r="A36" s="77" t="str">
        <f t="shared" si="3"/>
        <v>2115–2120</v>
      </c>
      <c r="B36" s="2"/>
      <c r="C36" s="2"/>
      <c r="D36" s="59"/>
      <c r="J36" s="335" t="str">
        <f>$A36</f>
        <v>2115–2120</v>
      </c>
      <c r="K36" s="336">
        <f t="shared" si="1"/>
        <v>0</v>
      </c>
      <c r="L36" s="339">
        <f t="shared" si="2"/>
        <v>0</v>
      </c>
    </row>
    <row r="37" spans="1:19" x14ac:dyDescent="0.2">
      <c r="A37" s="77" t="str">
        <f t="shared" si="3"/>
        <v>2120–2125</v>
      </c>
      <c r="B37" s="2"/>
      <c r="C37" s="2"/>
      <c r="D37" s="59"/>
      <c r="E37" s="364" t="str">
        <f>IF(OR(E18="",E22=""),"Please answer the Department Note Disclosure Questionnaire for Governmental Funds.","")</f>
        <v>Please answer the Department Note Disclosure Questionnaire for Governmental Funds.</v>
      </c>
      <c r="F37" s="81"/>
      <c r="G37" s="81"/>
      <c r="H37" s="81"/>
      <c r="I37" s="81"/>
      <c r="J37" s="335" t="str">
        <f t="shared" si="0"/>
        <v>2120–2125</v>
      </c>
      <c r="K37" s="336">
        <f t="shared" si="1"/>
        <v>0</v>
      </c>
      <c r="L37" s="339">
        <f t="shared" si="2"/>
        <v>0</v>
      </c>
    </row>
    <row r="38" spans="1:19" x14ac:dyDescent="0.2">
      <c r="E38" s="82"/>
      <c r="F38" s="81"/>
      <c r="G38" s="81"/>
      <c r="H38" s="81"/>
      <c r="I38" s="81"/>
      <c r="J38" s="365"/>
      <c r="K38" s="366"/>
      <c r="L38" s="367"/>
    </row>
    <row r="39" spans="1:19" ht="20.25" x14ac:dyDescent="0.3">
      <c r="A39" s="139" t="s">
        <v>142</v>
      </c>
      <c r="F39" s="81"/>
      <c r="G39" s="81"/>
      <c r="H39" s="81"/>
      <c r="I39" s="81"/>
      <c r="J39" s="326" t="str">
        <f>A39</f>
        <v>II. Proprietary - INTERNAL SERVICE FUNDS</v>
      </c>
      <c r="K39" s="366"/>
      <c r="L39" s="367"/>
    </row>
    <row r="40" spans="1:19" ht="15.75" x14ac:dyDescent="0.25">
      <c r="A40" s="12" t="s">
        <v>12</v>
      </c>
      <c r="B40" s="427" t="str">
        <f>B9</f>
        <v>2024–2025</v>
      </c>
      <c r="C40" s="427"/>
      <c r="D40" s="20"/>
      <c r="F40" s="81"/>
      <c r="G40" s="81"/>
      <c r="H40" s="81"/>
      <c r="I40" s="81"/>
      <c r="J40" s="365"/>
      <c r="K40" s="366"/>
      <c r="L40" s="367"/>
    </row>
    <row r="41" spans="1:19" ht="15.75" x14ac:dyDescent="0.25">
      <c r="A41" s="12" t="s">
        <v>207</v>
      </c>
      <c r="B41" s="429">
        <f>B10</f>
        <v>0</v>
      </c>
      <c r="C41" s="429"/>
      <c r="D41" s="344"/>
      <c r="J41" s="365"/>
      <c r="K41" s="366"/>
      <c r="L41" s="367"/>
    </row>
    <row r="42" spans="1:19" ht="18" x14ac:dyDescent="0.25">
      <c r="A42" s="12" t="s">
        <v>206</v>
      </c>
      <c r="B42" s="427">
        <f>B11</f>
        <v>0</v>
      </c>
      <c r="C42" s="427"/>
      <c r="D42" s="54"/>
      <c r="E42" s="378" t="str" cm="1">
        <f t="array" ref="E42">IF(AND(SUMPRODUCT(--ISNUMBER(B45:B68))&gt;0, OR(E49="", E53="")), "Please answer both questions below.", "")</f>
        <v/>
      </c>
      <c r="J42" s="365"/>
      <c r="K42" s="366"/>
      <c r="L42" s="367"/>
    </row>
    <row r="43" spans="1:19" ht="30" customHeight="1" x14ac:dyDescent="0.25">
      <c r="A43" s="443" t="s">
        <v>1744</v>
      </c>
      <c r="B43" s="444"/>
      <c r="C43" s="444"/>
      <c r="D43" s="343"/>
      <c r="F43" s="5"/>
      <c r="G43" s="5"/>
      <c r="H43" s="5"/>
      <c r="I43" s="5"/>
      <c r="J43" s="330"/>
      <c r="K43" s="337" t="s">
        <v>1796</v>
      </c>
      <c r="L43" s="331"/>
      <c r="M43" s="5"/>
      <c r="N43" s="5"/>
      <c r="O43" s="5"/>
      <c r="P43" s="5"/>
      <c r="Q43" s="5"/>
      <c r="R43" s="5"/>
      <c r="S43" s="5"/>
    </row>
    <row r="44" spans="1:19" ht="15.75" x14ac:dyDescent="0.25">
      <c r="A44" s="77"/>
      <c r="B44" s="78" t="s">
        <v>128</v>
      </c>
      <c r="C44" s="78" t="s">
        <v>127</v>
      </c>
      <c r="D44" s="368"/>
      <c r="E44" s="56" t="str">
        <f>"All of this worksheet's questions are for Fiscal Year "&amp;$B$9&amp;":"</f>
        <v>All of this worksheet's questions are for Fiscal Year 2024–2025:</v>
      </c>
      <c r="J44" s="332"/>
      <c r="K44" s="333" t="str">
        <f>B44</f>
        <v>Principal Receipts</v>
      </c>
      <c r="L44" s="334" t="str">
        <f>C44</f>
        <v>Interest Receipts</v>
      </c>
    </row>
    <row r="45" spans="1:19" ht="15" customHeight="1" x14ac:dyDescent="0.2">
      <c r="A45" s="77" t="str">
        <f>RIGHT(B40,4)&amp;"–"&amp;RIGHT(B40,4)+1</f>
        <v>2025–2026</v>
      </c>
      <c r="B45" s="2"/>
      <c r="C45" s="2"/>
      <c r="D45" s="59"/>
      <c r="E45" s="416" t="s">
        <v>216</v>
      </c>
      <c r="J45" s="335" t="str">
        <f>$A45</f>
        <v>2025–2026</v>
      </c>
      <c r="K45" s="336">
        <f>ROUND($B45,-3)</f>
        <v>0</v>
      </c>
      <c r="L45" s="339">
        <f>ROUND($C45,-3)</f>
        <v>0</v>
      </c>
    </row>
    <row r="46" spans="1:19" x14ac:dyDescent="0.2">
      <c r="A46" s="77" t="str">
        <f>LEFT(A45,4)+1&amp;"–"&amp;RIGHT(A45,4)+1</f>
        <v>2026–2027</v>
      </c>
      <c r="B46" s="2"/>
      <c r="C46" s="2"/>
      <c r="D46" s="59"/>
      <c r="E46" s="416"/>
      <c r="J46" s="335" t="str">
        <f t="shared" ref="J46:J68" si="4">$A46</f>
        <v>2026–2027</v>
      </c>
      <c r="K46" s="336">
        <f t="shared" ref="K46:K68" si="5">ROUND($B46,-3)</f>
        <v>0</v>
      </c>
      <c r="L46" s="339">
        <f t="shared" ref="L46:L68" si="6">ROUND($C46,-3)</f>
        <v>0</v>
      </c>
    </row>
    <row r="47" spans="1:19" x14ac:dyDescent="0.2">
      <c r="A47" s="77" t="str">
        <f>LEFT(A46,4)+1&amp;"–"&amp;RIGHT(A46,4)+1</f>
        <v>2027–2028</v>
      </c>
      <c r="B47" s="2"/>
      <c r="C47" s="2"/>
      <c r="D47" s="59"/>
      <c r="E47" s="416"/>
      <c r="J47" s="335" t="str">
        <f t="shared" si="4"/>
        <v>2027–2028</v>
      </c>
      <c r="K47" s="336">
        <f t="shared" si="5"/>
        <v>0</v>
      </c>
      <c r="L47" s="339">
        <f t="shared" si="6"/>
        <v>0</v>
      </c>
    </row>
    <row r="48" spans="1:19" ht="15" customHeight="1" x14ac:dyDescent="0.2">
      <c r="A48" s="77" t="str">
        <f>LEFT(A47,4)+1&amp;"–"&amp;RIGHT(A47,4)+1</f>
        <v>2028–2029</v>
      </c>
      <c r="B48" s="2"/>
      <c r="C48" s="2"/>
      <c r="D48" s="79"/>
      <c r="E48" s="416"/>
      <c r="J48" s="335" t="str">
        <f t="shared" si="4"/>
        <v>2028–2029</v>
      </c>
      <c r="K48" s="336">
        <f t="shared" si="5"/>
        <v>0</v>
      </c>
      <c r="L48" s="339">
        <f t="shared" si="6"/>
        <v>0</v>
      </c>
    </row>
    <row r="49" spans="1:19" x14ac:dyDescent="0.2">
      <c r="A49" s="77" t="str">
        <f>LEFT(A48,4)+1&amp;"–"&amp;RIGHT(A48,4)+1</f>
        <v>2029–2030</v>
      </c>
      <c r="B49" s="2"/>
      <c r="C49" s="2"/>
      <c r="D49" s="79"/>
      <c r="E49" s="87"/>
      <c r="J49" s="335" t="str">
        <f t="shared" si="4"/>
        <v>2029–2030</v>
      </c>
      <c r="K49" s="336">
        <f t="shared" si="5"/>
        <v>0</v>
      </c>
      <c r="L49" s="339">
        <f t="shared" si="6"/>
        <v>0</v>
      </c>
    </row>
    <row r="50" spans="1:19" x14ac:dyDescent="0.2">
      <c r="A50" s="77" t="str">
        <f>LEFT(A49,4)+1&amp;"–"&amp;RIGHT(A49,4)+5</f>
        <v>2030–2035</v>
      </c>
      <c r="B50" s="2"/>
      <c r="C50" s="2"/>
      <c r="D50" s="59"/>
      <c r="E50" s="57" t="str">
        <f>"If yes, record the dollar amount of variable receipts below for fiscal year "&amp;$B$9&amp;":"</f>
        <v>If yes, record the dollar amount of variable receipts below for fiscal year 2024–2025:</v>
      </c>
      <c r="J50" s="335" t="str">
        <f t="shared" si="4"/>
        <v>2030–2035</v>
      </c>
      <c r="K50" s="336">
        <f t="shared" si="5"/>
        <v>0</v>
      </c>
      <c r="L50" s="339">
        <f t="shared" si="6"/>
        <v>0</v>
      </c>
    </row>
    <row r="51" spans="1:19" x14ac:dyDescent="0.2">
      <c r="A51" s="77" t="str">
        <f t="shared" ref="A51:A68" si="7">LEFT(A50,4)+5&amp;"–"&amp;RIGHT(A50,4)+5</f>
        <v>2035–2040</v>
      </c>
      <c r="B51" s="2"/>
      <c r="C51" s="2"/>
      <c r="D51" s="59"/>
      <c r="E51" s="356" t="str">
        <f>IF(E49="","",IF(E49="No",0,"Please enter the amount here."))</f>
        <v/>
      </c>
      <c r="J51" s="335" t="str">
        <f t="shared" si="4"/>
        <v>2035–2040</v>
      </c>
      <c r="K51" s="336">
        <f t="shared" si="5"/>
        <v>0</v>
      </c>
      <c r="L51" s="339">
        <f t="shared" si="6"/>
        <v>0</v>
      </c>
    </row>
    <row r="52" spans="1:19" ht="15" customHeight="1" x14ac:dyDescent="0.2">
      <c r="A52" s="77" t="str">
        <f t="shared" si="7"/>
        <v>2040–2045</v>
      </c>
      <c r="B52" s="2"/>
      <c r="C52" s="2"/>
      <c r="D52" s="59"/>
      <c r="E52" s="55" t="str">
        <f>"2. Did you grant any lease incentives to the lessee during fiscal year "&amp;$B$9&amp;"?"</f>
        <v>2. Did you grant any lease incentives to the lessee during fiscal year 2024–2025?</v>
      </c>
      <c r="J52" s="335" t="str">
        <f t="shared" si="4"/>
        <v>2040–2045</v>
      </c>
      <c r="K52" s="336">
        <f t="shared" si="5"/>
        <v>0</v>
      </c>
      <c r="L52" s="339">
        <f t="shared" si="6"/>
        <v>0</v>
      </c>
    </row>
    <row r="53" spans="1:19" x14ac:dyDescent="0.2">
      <c r="A53" s="77" t="str">
        <f t="shared" si="7"/>
        <v>2045–2050</v>
      </c>
      <c r="B53" s="2"/>
      <c r="C53" s="2"/>
      <c r="D53" s="59"/>
      <c r="E53" s="87"/>
      <c r="J53" s="335" t="str">
        <f t="shared" si="4"/>
        <v>2045–2050</v>
      </c>
      <c r="K53" s="336">
        <f t="shared" si="5"/>
        <v>0</v>
      </c>
      <c r="L53" s="339">
        <f t="shared" si="6"/>
        <v>0</v>
      </c>
    </row>
    <row r="54" spans="1:19" ht="15" customHeight="1" x14ac:dyDescent="0.2">
      <c r="A54" s="77" t="str">
        <f t="shared" si="7"/>
        <v>2050–2055</v>
      </c>
      <c r="B54" s="2"/>
      <c r="C54" s="2"/>
      <c r="D54" s="59"/>
      <c r="E54" s="57" t="str">
        <f>"If yes, record the amount below for fiscal year "&amp;$B$9&amp;":"</f>
        <v>If yes, record the amount below for fiscal year 2024–2025:</v>
      </c>
      <c r="J54" s="335" t="str">
        <f t="shared" si="4"/>
        <v>2050–2055</v>
      </c>
      <c r="K54" s="336">
        <f t="shared" si="5"/>
        <v>0</v>
      </c>
      <c r="L54" s="339">
        <f t="shared" si="6"/>
        <v>0</v>
      </c>
    </row>
    <row r="55" spans="1:19" x14ac:dyDescent="0.2">
      <c r="A55" s="77" t="str">
        <f t="shared" si="7"/>
        <v>2055–2060</v>
      </c>
      <c r="B55" s="2"/>
      <c r="C55" s="2"/>
      <c r="D55" s="59"/>
      <c r="E55" s="356" t="str">
        <f>IF(E53="","",IF(E53="No",0,"Please enter the amount here."))</f>
        <v/>
      </c>
      <c r="J55" s="335" t="str">
        <f t="shared" si="4"/>
        <v>2055–2060</v>
      </c>
      <c r="K55" s="336">
        <f t="shared" si="5"/>
        <v>0</v>
      </c>
      <c r="L55" s="339">
        <f t="shared" si="6"/>
        <v>0</v>
      </c>
    </row>
    <row r="56" spans="1:19" x14ac:dyDescent="0.2">
      <c r="A56" s="77" t="str">
        <f t="shared" si="7"/>
        <v>2060–2065</v>
      </c>
      <c r="B56" s="2"/>
      <c r="C56" s="2"/>
      <c r="D56" s="59"/>
      <c r="E56" s="57"/>
      <c r="J56" s="335" t="str">
        <f t="shared" si="4"/>
        <v>2060–2065</v>
      </c>
      <c r="K56" s="336">
        <f t="shared" si="5"/>
        <v>0</v>
      </c>
      <c r="L56" s="339">
        <f t="shared" si="6"/>
        <v>0</v>
      </c>
    </row>
    <row r="57" spans="1:19" ht="15.75" x14ac:dyDescent="0.25">
      <c r="A57" s="77" t="str">
        <f t="shared" si="7"/>
        <v>2065–2070</v>
      </c>
      <c r="B57" s="2"/>
      <c r="C57" s="2"/>
      <c r="D57" s="59"/>
      <c r="E57" s="5"/>
      <c r="J57" s="335" t="str">
        <f t="shared" si="4"/>
        <v>2065–2070</v>
      </c>
      <c r="K57" s="336">
        <f t="shared" si="5"/>
        <v>0</v>
      </c>
      <c r="L57" s="339">
        <f t="shared" si="6"/>
        <v>0</v>
      </c>
    </row>
    <row r="58" spans="1:19" ht="15.75" x14ac:dyDescent="0.25">
      <c r="A58" s="77" t="str">
        <f t="shared" si="7"/>
        <v>2070–2075</v>
      </c>
      <c r="B58" s="2"/>
      <c r="C58" s="2"/>
      <c r="D58" s="59"/>
      <c r="E58" s="5"/>
      <c r="F58" s="83"/>
      <c r="G58" s="83"/>
      <c r="H58" s="20"/>
      <c r="I58" s="20"/>
      <c r="J58" s="335" t="str">
        <f t="shared" si="4"/>
        <v>2070–2075</v>
      </c>
      <c r="K58" s="336">
        <f t="shared" si="5"/>
        <v>0</v>
      </c>
      <c r="L58" s="339">
        <f t="shared" si="6"/>
        <v>0</v>
      </c>
      <c r="M58" s="20"/>
      <c r="N58" s="20"/>
      <c r="O58" s="20"/>
      <c r="P58" s="20"/>
      <c r="Q58" s="20"/>
      <c r="R58" s="20"/>
      <c r="S58" s="20"/>
    </row>
    <row r="59" spans="1:19" x14ac:dyDescent="0.2">
      <c r="A59" s="77" t="str">
        <f t="shared" si="7"/>
        <v>2075–2080</v>
      </c>
      <c r="B59" s="2"/>
      <c r="C59" s="2"/>
      <c r="D59" s="59"/>
      <c r="E59" s="11"/>
      <c r="F59" s="20"/>
      <c r="G59" s="20"/>
      <c r="H59" s="20"/>
      <c r="I59" s="20"/>
      <c r="J59" s="335" t="str">
        <f t="shared" si="4"/>
        <v>2075–2080</v>
      </c>
      <c r="K59" s="336">
        <f t="shared" si="5"/>
        <v>0</v>
      </c>
      <c r="L59" s="339">
        <f t="shared" si="6"/>
        <v>0</v>
      </c>
      <c r="M59" s="20"/>
      <c r="N59" s="20"/>
      <c r="O59" s="20"/>
      <c r="P59" s="20"/>
      <c r="Q59" s="20"/>
      <c r="R59" s="20"/>
      <c r="S59" s="20"/>
    </row>
    <row r="60" spans="1:19" x14ac:dyDescent="0.2">
      <c r="A60" s="77" t="str">
        <f t="shared" si="7"/>
        <v>2080–2085</v>
      </c>
      <c r="B60" s="2"/>
      <c r="C60" s="2"/>
      <c r="D60" s="59"/>
      <c r="F60" s="20"/>
      <c r="G60" s="20"/>
      <c r="H60" s="20"/>
      <c r="I60" s="20"/>
      <c r="J60" s="335" t="str">
        <f t="shared" si="4"/>
        <v>2080–2085</v>
      </c>
      <c r="K60" s="336">
        <f t="shared" si="5"/>
        <v>0</v>
      </c>
      <c r="L60" s="339">
        <f t="shared" si="6"/>
        <v>0</v>
      </c>
      <c r="M60" s="20"/>
      <c r="N60" s="20"/>
      <c r="O60" s="20"/>
      <c r="P60" s="20"/>
      <c r="Q60" s="20"/>
      <c r="R60" s="20"/>
      <c r="S60" s="20"/>
    </row>
    <row r="61" spans="1:19" ht="15.75" x14ac:dyDescent="0.25">
      <c r="A61" s="77" t="str">
        <f t="shared" si="7"/>
        <v>2085–2090</v>
      </c>
      <c r="B61" s="2"/>
      <c r="C61" s="2"/>
      <c r="D61" s="59"/>
      <c r="F61" s="6"/>
      <c r="G61" s="6"/>
      <c r="H61" s="6"/>
      <c r="I61" s="6"/>
      <c r="J61" s="335" t="str">
        <f t="shared" si="4"/>
        <v>2085–2090</v>
      </c>
      <c r="K61" s="336">
        <f t="shared" si="5"/>
        <v>0</v>
      </c>
      <c r="L61" s="339">
        <f t="shared" si="6"/>
        <v>0</v>
      </c>
      <c r="M61" s="6"/>
      <c r="N61" s="6"/>
      <c r="O61" s="6"/>
      <c r="P61" s="6"/>
      <c r="Q61" s="6"/>
      <c r="R61" s="6"/>
      <c r="S61" s="6"/>
    </row>
    <row r="62" spans="1:19" x14ac:dyDescent="0.2">
      <c r="A62" s="77" t="str">
        <f t="shared" si="7"/>
        <v>2090–2095</v>
      </c>
      <c r="B62" s="2"/>
      <c r="C62" s="2"/>
      <c r="D62" s="59"/>
      <c r="J62" s="335" t="str">
        <f t="shared" si="4"/>
        <v>2090–2095</v>
      </c>
      <c r="K62" s="336">
        <f t="shared" si="5"/>
        <v>0</v>
      </c>
      <c r="L62" s="339">
        <f t="shared" si="6"/>
        <v>0</v>
      </c>
    </row>
    <row r="63" spans="1:19" ht="15.75" x14ac:dyDescent="0.25">
      <c r="A63" s="77" t="str">
        <f t="shared" si="7"/>
        <v>2095–2100</v>
      </c>
      <c r="B63" s="2"/>
      <c r="C63" s="2"/>
      <c r="D63" s="59"/>
      <c r="E63" s="12"/>
      <c r="J63" s="335" t="str">
        <f t="shared" si="4"/>
        <v>2095–2100</v>
      </c>
      <c r="K63" s="336">
        <f t="shared" si="5"/>
        <v>0</v>
      </c>
      <c r="L63" s="339">
        <f t="shared" si="6"/>
        <v>0</v>
      </c>
    </row>
    <row r="64" spans="1:19" ht="15.75" x14ac:dyDescent="0.25">
      <c r="A64" s="77" t="str">
        <f t="shared" si="7"/>
        <v>2100–2105</v>
      </c>
      <c r="B64" s="2"/>
      <c r="C64" s="2"/>
      <c r="D64" s="59"/>
      <c r="E64" s="12"/>
      <c r="J64" s="335" t="str">
        <f t="shared" si="4"/>
        <v>2100–2105</v>
      </c>
      <c r="K64" s="336">
        <f t="shared" si="5"/>
        <v>0</v>
      </c>
      <c r="L64" s="339">
        <f t="shared" si="6"/>
        <v>0</v>
      </c>
    </row>
    <row r="65" spans="1:19" ht="15.75" x14ac:dyDescent="0.25">
      <c r="A65" s="77" t="str">
        <f t="shared" si="7"/>
        <v>2105–2110</v>
      </c>
      <c r="B65" s="2"/>
      <c r="C65" s="2"/>
      <c r="D65" s="59"/>
      <c r="E65" s="12"/>
      <c r="J65" s="335" t="str">
        <f t="shared" si="4"/>
        <v>2105–2110</v>
      </c>
      <c r="K65" s="336">
        <f t="shared" si="5"/>
        <v>0</v>
      </c>
      <c r="L65" s="339">
        <f t="shared" si="6"/>
        <v>0</v>
      </c>
    </row>
    <row r="66" spans="1:19" x14ac:dyDescent="0.2">
      <c r="A66" s="77" t="str">
        <f t="shared" si="7"/>
        <v>2110–2115</v>
      </c>
      <c r="B66" s="2"/>
      <c r="C66" s="2"/>
      <c r="D66" s="59"/>
      <c r="J66" s="335" t="str">
        <f t="shared" si="4"/>
        <v>2110–2115</v>
      </c>
      <c r="K66" s="336">
        <f t="shared" si="5"/>
        <v>0</v>
      </c>
      <c r="L66" s="339">
        <f t="shared" si="6"/>
        <v>0</v>
      </c>
    </row>
    <row r="67" spans="1:19" x14ac:dyDescent="0.2">
      <c r="A67" s="77" t="str">
        <f t="shared" si="7"/>
        <v>2115–2120</v>
      </c>
      <c r="B67" s="2"/>
      <c r="C67" s="2"/>
      <c r="D67" s="59"/>
      <c r="J67" s="335" t="str">
        <f t="shared" si="4"/>
        <v>2115–2120</v>
      </c>
      <c r="K67" s="336">
        <f t="shared" si="5"/>
        <v>0</v>
      </c>
      <c r="L67" s="339">
        <f t="shared" si="6"/>
        <v>0</v>
      </c>
    </row>
    <row r="68" spans="1:19" x14ac:dyDescent="0.2">
      <c r="A68" s="77" t="str">
        <f t="shared" si="7"/>
        <v>2120–2125</v>
      </c>
      <c r="B68" s="2"/>
      <c r="C68" s="2"/>
      <c r="D68" s="59"/>
      <c r="E68" s="364" t="str">
        <f>IF(OR(E49="",E53=""),"Please answer the Department Note Disclosure Questionnaire for Internal Service Funds.","")</f>
        <v>Please answer the Department Note Disclosure Questionnaire for Internal Service Funds.</v>
      </c>
      <c r="J68" s="335" t="str">
        <f t="shared" si="4"/>
        <v>2120–2125</v>
      </c>
      <c r="K68" s="336">
        <f t="shared" si="5"/>
        <v>0</v>
      </c>
      <c r="L68" s="339">
        <f t="shared" si="6"/>
        <v>0</v>
      </c>
    </row>
    <row r="69" spans="1:19" x14ac:dyDescent="0.2">
      <c r="E69" s="82"/>
      <c r="J69" s="365"/>
      <c r="K69" s="366"/>
      <c r="L69" s="367"/>
    </row>
    <row r="70" spans="1:19" ht="20.25" x14ac:dyDescent="0.3">
      <c r="A70" s="139" t="s">
        <v>147</v>
      </c>
      <c r="J70" s="326" t="str">
        <f>A70</f>
        <v>III. Proprietary - ENTERPRISE FUNDS</v>
      </c>
      <c r="K70" s="366"/>
      <c r="L70" s="367"/>
    </row>
    <row r="71" spans="1:19" ht="15.75" x14ac:dyDescent="0.25">
      <c r="A71" s="12" t="s">
        <v>12</v>
      </c>
      <c r="B71" s="427" t="str">
        <f>B40</f>
        <v>2024–2025</v>
      </c>
      <c r="C71" s="427"/>
      <c r="D71" s="20"/>
      <c r="J71" s="365"/>
      <c r="K71" s="366"/>
      <c r="L71" s="367"/>
    </row>
    <row r="72" spans="1:19" ht="15.75" x14ac:dyDescent="0.25">
      <c r="A72" s="12" t="s">
        <v>207</v>
      </c>
      <c r="B72" s="429">
        <f>B41</f>
        <v>0</v>
      </c>
      <c r="C72" s="429"/>
      <c r="D72" s="344"/>
      <c r="J72" s="365"/>
      <c r="K72" s="366"/>
      <c r="L72" s="367"/>
    </row>
    <row r="73" spans="1:19" ht="18" x14ac:dyDescent="0.25">
      <c r="A73" s="12" t="s">
        <v>206</v>
      </c>
      <c r="B73" s="427">
        <f>B42</f>
        <v>0</v>
      </c>
      <c r="C73" s="427"/>
      <c r="D73" s="54"/>
      <c r="E73" s="378" t="str" cm="1">
        <f t="array" ref="E73">IF(AND(SUMPRODUCT(--ISNUMBER(B77:B99))&gt;0, OR(E80="", E84="")), "Please answer both questions below.", "")</f>
        <v/>
      </c>
      <c r="J73" s="365"/>
      <c r="K73" s="366"/>
      <c r="L73" s="367"/>
    </row>
    <row r="74" spans="1:19" ht="30" customHeight="1" x14ac:dyDescent="0.25">
      <c r="A74" s="443" t="s">
        <v>1744</v>
      </c>
      <c r="B74" s="444"/>
      <c r="C74" s="444"/>
      <c r="D74" s="343"/>
      <c r="F74" s="5"/>
      <c r="G74" s="5"/>
      <c r="H74" s="5"/>
      <c r="I74" s="5"/>
      <c r="J74" s="330"/>
      <c r="K74" s="337" t="s">
        <v>1796</v>
      </c>
      <c r="L74" s="331"/>
      <c r="M74" s="5"/>
      <c r="N74" s="5"/>
      <c r="O74" s="5"/>
      <c r="P74" s="5"/>
      <c r="Q74" s="5"/>
      <c r="R74" s="5"/>
      <c r="S74" s="5"/>
    </row>
    <row r="75" spans="1:19" ht="15.75" x14ac:dyDescent="0.25">
      <c r="A75" s="77"/>
      <c r="B75" s="78" t="s">
        <v>128</v>
      </c>
      <c r="C75" s="78" t="s">
        <v>127</v>
      </c>
      <c r="D75" s="368"/>
      <c r="E75" s="56" t="str">
        <f>"All of this worksheet's questions are for Fiscal Year "&amp;$B$9&amp;":"</f>
        <v>All of this worksheet's questions are for Fiscal Year 2024–2025:</v>
      </c>
      <c r="J75" s="332"/>
      <c r="K75" s="333" t="str">
        <f>B75</f>
        <v>Principal Receipts</v>
      </c>
      <c r="L75" s="334" t="str">
        <f>C75</f>
        <v>Interest Receipts</v>
      </c>
    </row>
    <row r="76" spans="1:19" ht="15" customHeight="1" x14ac:dyDescent="0.2">
      <c r="A76" s="77" t="str">
        <f>RIGHT(B71,4)&amp;"–"&amp;RIGHT(B71,4)+1</f>
        <v>2025–2026</v>
      </c>
      <c r="B76" s="2"/>
      <c r="C76" s="2"/>
      <c r="D76" s="59"/>
      <c r="E76" s="416" t="s">
        <v>216</v>
      </c>
      <c r="J76" s="335" t="str">
        <f>$A76</f>
        <v>2025–2026</v>
      </c>
      <c r="K76" s="336">
        <f>ROUND($B76,-3)</f>
        <v>0</v>
      </c>
      <c r="L76" s="339">
        <f>ROUND($C76,-3)</f>
        <v>0</v>
      </c>
    </row>
    <row r="77" spans="1:19" x14ac:dyDescent="0.2">
      <c r="A77" s="77" t="str">
        <f>LEFT(A76,4)+1&amp;"–"&amp;RIGHT(A76,4)+1</f>
        <v>2026–2027</v>
      </c>
      <c r="B77" s="2"/>
      <c r="C77" s="2"/>
      <c r="D77" s="59"/>
      <c r="E77" s="416"/>
      <c r="J77" s="335" t="str">
        <f t="shared" ref="J77:J99" si="8">$A77</f>
        <v>2026–2027</v>
      </c>
      <c r="K77" s="336">
        <f t="shared" ref="K77:K99" si="9">ROUND($B77,-3)</f>
        <v>0</v>
      </c>
      <c r="L77" s="339">
        <f t="shared" ref="L77:L99" si="10">ROUND($C77,-3)</f>
        <v>0</v>
      </c>
    </row>
    <row r="78" spans="1:19" x14ac:dyDescent="0.2">
      <c r="A78" s="77" t="str">
        <f>LEFT(A77,4)+1&amp;"–"&amp;RIGHT(A77,4)+1</f>
        <v>2027–2028</v>
      </c>
      <c r="B78" s="2"/>
      <c r="C78" s="2"/>
      <c r="D78" s="59"/>
      <c r="E78" s="416"/>
      <c r="J78" s="335" t="str">
        <f t="shared" si="8"/>
        <v>2027–2028</v>
      </c>
      <c r="K78" s="336">
        <f t="shared" si="9"/>
        <v>0</v>
      </c>
      <c r="L78" s="339">
        <f t="shared" si="10"/>
        <v>0</v>
      </c>
    </row>
    <row r="79" spans="1:19" x14ac:dyDescent="0.2">
      <c r="A79" s="77" t="str">
        <f>LEFT(A78,4)+1&amp;"–"&amp;RIGHT(A78,4)+1</f>
        <v>2028–2029</v>
      </c>
      <c r="B79" s="2"/>
      <c r="C79" s="2"/>
      <c r="D79" s="79"/>
      <c r="E79" s="416"/>
      <c r="J79" s="335" t="str">
        <f t="shared" si="8"/>
        <v>2028–2029</v>
      </c>
      <c r="K79" s="336">
        <f t="shared" si="9"/>
        <v>0</v>
      </c>
      <c r="L79" s="339">
        <f t="shared" si="10"/>
        <v>0</v>
      </c>
    </row>
    <row r="80" spans="1:19" x14ac:dyDescent="0.2">
      <c r="A80" s="77" t="str">
        <f>LEFT(A79,4)+1&amp;"–"&amp;RIGHT(A79,4)+1</f>
        <v>2029–2030</v>
      </c>
      <c r="B80" s="2"/>
      <c r="C80" s="2"/>
      <c r="D80" s="79"/>
      <c r="E80" s="87"/>
      <c r="J80" s="335" t="str">
        <f t="shared" si="8"/>
        <v>2029–2030</v>
      </c>
      <c r="K80" s="336">
        <f t="shared" si="9"/>
        <v>0</v>
      </c>
      <c r="L80" s="339">
        <f t="shared" si="10"/>
        <v>0</v>
      </c>
    </row>
    <row r="81" spans="1:12" x14ac:dyDescent="0.2">
      <c r="A81" s="77" t="str">
        <f>LEFT(A80,4)+1&amp;"–"&amp;RIGHT(A80,4)+5</f>
        <v>2030–2035</v>
      </c>
      <c r="B81" s="2"/>
      <c r="C81" s="2"/>
      <c r="D81" s="59"/>
      <c r="E81" s="57" t="str">
        <f>"If yes, record the dollar amount of variable receipts below for fiscal year "&amp;$B$9&amp;":"</f>
        <v>If yes, record the dollar amount of variable receipts below for fiscal year 2024–2025:</v>
      </c>
      <c r="J81" s="335" t="str">
        <f t="shared" si="8"/>
        <v>2030–2035</v>
      </c>
      <c r="K81" s="336">
        <f t="shared" si="9"/>
        <v>0</v>
      </c>
      <c r="L81" s="339">
        <f t="shared" si="10"/>
        <v>0</v>
      </c>
    </row>
    <row r="82" spans="1:12" x14ac:dyDescent="0.2">
      <c r="A82" s="77" t="str">
        <f t="shared" ref="A82:A99" si="11">LEFT(A81,4)+5&amp;"–"&amp;RIGHT(A81,4)+5</f>
        <v>2035–2040</v>
      </c>
      <c r="B82" s="2"/>
      <c r="C82" s="2"/>
      <c r="D82" s="59"/>
      <c r="E82" s="356" t="str">
        <f>IF(E80="","",IF(E80="No",0,"Please enter the amount here."))</f>
        <v/>
      </c>
      <c r="J82" s="335" t="str">
        <f t="shared" si="8"/>
        <v>2035–2040</v>
      </c>
      <c r="K82" s="336">
        <f t="shared" si="9"/>
        <v>0</v>
      </c>
      <c r="L82" s="339">
        <f t="shared" si="10"/>
        <v>0</v>
      </c>
    </row>
    <row r="83" spans="1:12" ht="15" customHeight="1" x14ac:dyDescent="0.2">
      <c r="A83" s="77" t="str">
        <f t="shared" si="11"/>
        <v>2040–2045</v>
      </c>
      <c r="B83" s="2"/>
      <c r="C83" s="2"/>
      <c r="D83" s="59"/>
      <c r="E83" s="55" t="str">
        <f>"2. Did you grant any lease incentives to the lessee during fiscal year "&amp;$B$9&amp;"?"</f>
        <v>2. Did you grant any lease incentives to the lessee during fiscal year 2024–2025?</v>
      </c>
      <c r="J83" s="335" t="str">
        <f t="shared" si="8"/>
        <v>2040–2045</v>
      </c>
      <c r="K83" s="336">
        <f t="shared" si="9"/>
        <v>0</v>
      </c>
      <c r="L83" s="339">
        <f t="shared" si="10"/>
        <v>0</v>
      </c>
    </row>
    <row r="84" spans="1:12" x14ac:dyDescent="0.2">
      <c r="A84" s="77" t="str">
        <f t="shared" si="11"/>
        <v>2045–2050</v>
      </c>
      <c r="B84" s="2"/>
      <c r="C84" s="2"/>
      <c r="D84" s="59"/>
      <c r="E84" s="87"/>
      <c r="J84" s="335" t="str">
        <f t="shared" si="8"/>
        <v>2045–2050</v>
      </c>
      <c r="K84" s="336">
        <f t="shared" si="9"/>
        <v>0</v>
      </c>
      <c r="L84" s="339">
        <f t="shared" si="10"/>
        <v>0</v>
      </c>
    </row>
    <row r="85" spans="1:12" ht="15" customHeight="1" x14ac:dyDescent="0.2">
      <c r="A85" s="77" t="str">
        <f t="shared" si="11"/>
        <v>2050–2055</v>
      </c>
      <c r="B85" s="2"/>
      <c r="C85" s="2"/>
      <c r="D85" s="59"/>
      <c r="E85" s="57" t="str">
        <f>"If yes, record the amount below for fiscal year "&amp;$B$9&amp;":"</f>
        <v>If yes, record the amount below for fiscal year 2024–2025:</v>
      </c>
      <c r="J85" s="335" t="str">
        <f t="shared" si="8"/>
        <v>2050–2055</v>
      </c>
      <c r="K85" s="336">
        <f t="shared" si="9"/>
        <v>0</v>
      </c>
      <c r="L85" s="339">
        <f t="shared" si="10"/>
        <v>0</v>
      </c>
    </row>
    <row r="86" spans="1:12" x14ac:dyDescent="0.2">
      <c r="A86" s="77" t="str">
        <f t="shared" si="11"/>
        <v>2055–2060</v>
      </c>
      <c r="B86" s="2"/>
      <c r="C86" s="2"/>
      <c r="D86" s="59"/>
      <c r="E86" s="356" t="str">
        <f>IF(E84="","",IF(E84="No",0,"Please enter the amount here."))</f>
        <v/>
      </c>
      <c r="J86" s="335" t="str">
        <f t="shared" si="8"/>
        <v>2055–2060</v>
      </c>
      <c r="K86" s="336">
        <f t="shared" si="9"/>
        <v>0</v>
      </c>
      <c r="L86" s="339">
        <f t="shared" si="10"/>
        <v>0</v>
      </c>
    </row>
    <row r="87" spans="1:12" x14ac:dyDescent="0.2">
      <c r="A87" s="77" t="str">
        <f t="shared" si="11"/>
        <v>2060–2065</v>
      </c>
      <c r="B87" s="2"/>
      <c r="C87" s="2"/>
      <c r="D87" s="59"/>
      <c r="E87" s="57"/>
      <c r="J87" s="335" t="str">
        <f t="shared" si="8"/>
        <v>2060–2065</v>
      </c>
      <c r="K87" s="336">
        <f t="shared" si="9"/>
        <v>0</v>
      </c>
      <c r="L87" s="339">
        <f t="shared" si="10"/>
        <v>0</v>
      </c>
    </row>
    <row r="88" spans="1:12" ht="15.75" x14ac:dyDescent="0.25">
      <c r="A88" s="77" t="str">
        <f t="shared" si="11"/>
        <v>2065–2070</v>
      </c>
      <c r="B88" s="2"/>
      <c r="C88" s="2"/>
      <c r="D88" s="59"/>
      <c r="E88" s="5"/>
      <c r="J88" s="335" t="str">
        <f t="shared" si="8"/>
        <v>2065–2070</v>
      </c>
      <c r="K88" s="336">
        <f t="shared" si="9"/>
        <v>0</v>
      </c>
      <c r="L88" s="339">
        <f t="shared" si="10"/>
        <v>0</v>
      </c>
    </row>
    <row r="89" spans="1:12" ht="15.75" x14ac:dyDescent="0.25">
      <c r="A89" s="77" t="str">
        <f t="shared" si="11"/>
        <v>2070–2075</v>
      </c>
      <c r="B89" s="2"/>
      <c r="C89" s="2"/>
      <c r="D89" s="59"/>
      <c r="E89" s="5"/>
      <c r="J89" s="335" t="str">
        <f t="shared" si="8"/>
        <v>2070–2075</v>
      </c>
      <c r="K89" s="336">
        <f t="shared" si="9"/>
        <v>0</v>
      </c>
      <c r="L89" s="339">
        <f t="shared" si="10"/>
        <v>0</v>
      </c>
    </row>
    <row r="90" spans="1:12" x14ac:dyDescent="0.2">
      <c r="A90" s="77" t="str">
        <f t="shared" si="11"/>
        <v>2075–2080</v>
      </c>
      <c r="B90" s="2"/>
      <c r="C90" s="2"/>
      <c r="D90" s="59"/>
      <c r="E90" s="11"/>
      <c r="J90" s="335" t="str">
        <f t="shared" si="8"/>
        <v>2075–2080</v>
      </c>
      <c r="K90" s="336">
        <f t="shared" si="9"/>
        <v>0</v>
      </c>
      <c r="L90" s="339">
        <f t="shared" si="10"/>
        <v>0</v>
      </c>
    </row>
    <row r="91" spans="1:12" x14ac:dyDescent="0.2">
      <c r="A91" s="77" t="str">
        <f t="shared" si="11"/>
        <v>2080–2085</v>
      </c>
      <c r="B91" s="2"/>
      <c r="C91" s="2"/>
      <c r="D91" s="59"/>
      <c r="J91" s="335" t="str">
        <f t="shared" si="8"/>
        <v>2080–2085</v>
      </c>
      <c r="K91" s="336">
        <f t="shared" si="9"/>
        <v>0</v>
      </c>
      <c r="L91" s="339">
        <f t="shared" si="10"/>
        <v>0</v>
      </c>
    </row>
    <row r="92" spans="1:12" x14ac:dyDescent="0.2">
      <c r="A92" s="77" t="str">
        <f t="shared" si="11"/>
        <v>2085–2090</v>
      </c>
      <c r="B92" s="2"/>
      <c r="C92" s="2"/>
      <c r="D92" s="59"/>
      <c r="J92" s="335" t="str">
        <f t="shared" si="8"/>
        <v>2085–2090</v>
      </c>
      <c r="K92" s="336">
        <f t="shared" si="9"/>
        <v>0</v>
      </c>
      <c r="L92" s="339">
        <f t="shared" si="10"/>
        <v>0</v>
      </c>
    </row>
    <row r="93" spans="1:12" x14ac:dyDescent="0.2">
      <c r="A93" s="77" t="str">
        <f t="shared" si="11"/>
        <v>2090–2095</v>
      </c>
      <c r="B93" s="2"/>
      <c r="C93" s="2"/>
      <c r="D93" s="59"/>
      <c r="J93" s="335" t="str">
        <f t="shared" si="8"/>
        <v>2090–2095</v>
      </c>
      <c r="K93" s="336">
        <f t="shared" si="9"/>
        <v>0</v>
      </c>
      <c r="L93" s="339">
        <f t="shared" si="10"/>
        <v>0</v>
      </c>
    </row>
    <row r="94" spans="1:12" ht="15.75" x14ac:dyDescent="0.25">
      <c r="A94" s="77" t="str">
        <f t="shared" si="11"/>
        <v>2095–2100</v>
      </c>
      <c r="B94" s="2"/>
      <c r="C94" s="2"/>
      <c r="D94" s="59"/>
      <c r="E94" s="12"/>
      <c r="J94" s="335" t="str">
        <f t="shared" si="8"/>
        <v>2095–2100</v>
      </c>
      <c r="K94" s="336">
        <f t="shared" si="9"/>
        <v>0</v>
      </c>
      <c r="L94" s="339">
        <f t="shared" si="10"/>
        <v>0</v>
      </c>
    </row>
    <row r="95" spans="1:12" ht="15.75" x14ac:dyDescent="0.25">
      <c r="A95" s="77" t="str">
        <f t="shared" si="11"/>
        <v>2100–2105</v>
      </c>
      <c r="B95" s="2"/>
      <c r="C95" s="2"/>
      <c r="D95" s="59"/>
      <c r="E95" s="12"/>
      <c r="J95" s="335" t="str">
        <f t="shared" si="8"/>
        <v>2100–2105</v>
      </c>
      <c r="K95" s="336">
        <f t="shared" si="9"/>
        <v>0</v>
      </c>
      <c r="L95" s="339">
        <f t="shared" si="10"/>
        <v>0</v>
      </c>
    </row>
    <row r="96" spans="1:12" ht="15.75" x14ac:dyDescent="0.25">
      <c r="A96" s="77" t="str">
        <f t="shared" si="11"/>
        <v>2105–2110</v>
      </c>
      <c r="B96" s="2"/>
      <c r="C96" s="2"/>
      <c r="D96" s="59"/>
      <c r="E96" s="12"/>
      <c r="J96" s="335" t="str">
        <f t="shared" si="8"/>
        <v>2105–2110</v>
      </c>
      <c r="K96" s="336">
        <f t="shared" si="9"/>
        <v>0</v>
      </c>
      <c r="L96" s="339">
        <f t="shared" si="10"/>
        <v>0</v>
      </c>
    </row>
    <row r="97" spans="1:12" x14ac:dyDescent="0.2">
      <c r="A97" s="77" t="str">
        <f t="shared" si="11"/>
        <v>2110–2115</v>
      </c>
      <c r="B97" s="2"/>
      <c r="C97" s="2"/>
      <c r="D97" s="59"/>
      <c r="J97" s="335" t="str">
        <f t="shared" si="8"/>
        <v>2110–2115</v>
      </c>
      <c r="K97" s="336">
        <f t="shared" si="9"/>
        <v>0</v>
      </c>
      <c r="L97" s="339">
        <f t="shared" si="10"/>
        <v>0</v>
      </c>
    </row>
    <row r="98" spans="1:12" x14ac:dyDescent="0.2">
      <c r="A98" s="77" t="str">
        <f t="shared" si="11"/>
        <v>2115–2120</v>
      </c>
      <c r="B98" s="2"/>
      <c r="C98" s="2"/>
      <c r="D98" s="59"/>
      <c r="J98" s="335" t="str">
        <f t="shared" si="8"/>
        <v>2115–2120</v>
      </c>
      <c r="K98" s="336">
        <f t="shared" si="9"/>
        <v>0</v>
      </c>
      <c r="L98" s="339">
        <f t="shared" si="10"/>
        <v>0</v>
      </c>
    </row>
    <row r="99" spans="1:12" ht="15.75" thickBot="1" x14ac:dyDescent="0.25">
      <c r="A99" s="77" t="str">
        <f t="shared" si="11"/>
        <v>2120–2125</v>
      </c>
      <c r="B99" s="2"/>
      <c r="C99" s="2"/>
      <c r="D99" s="59"/>
      <c r="E99" s="364" t="str">
        <f>IF(OR(E80="",E84=""),"Please answer the Department Note Disclosure Questionnaire for Enterprise Funds.","")</f>
        <v>Please answer the Department Note Disclosure Questionnaire for Enterprise Funds.</v>
      </c>
      <c r="J99" s="340" t="str">
        <f t="shared" si="8"/>
        <v>2120–2125</v>
      </c>
      <c r="K99" s="341">
        <f t="shared" si="9"/>
        <v>0</v>
      </c>
      <c r="L99" s="342">
        <f t="shared" si="10"/>
        <v>0</v>
      </c>
    </row>
    <row r="100" spans="1:12" x14ac:dyDescent="0.2">
      <c r="A100" s="20"/>
      <c r="B100" s="20"/>
      <c r="C100" s="20"/>
      <c r="D100" s="20"/>
    </row>
    <row r="101" spans="1:12" x14ac:dyDescent="0.2">
      <c r="A101" s="359"/>
      <c r="B101" s="359"/>
      <c r="C101" s="359"/>
      <c r="D101" s="359"/>
    </row>
    <row r="102" spans="1:12" x14ac:dyDescent="0.2">
      <c r="A102" s="58"/>
    </row>
    <row r="103" spans="1:12" x14ac:dyDescent="0.2">
      <c r="A103" s="58"/>
    </row>
  </sheetData>
  <sheetProtection algorithmName="SHA-512" hashValue="+y5diOgTHUfNbKo/Qet8HSlVUqAYDI07Mf3K7l16BBG6YnjWKGTsS2uiCCBMmc+SV/8krrqnuMYhAYTFX/fa4w==" saltValue="+Ap95JINwr8vs1/iR1PRIw==" spinCount="100000" sheet="1" objects="1" scenarios="1"/>
  <mergeCells count="21">
    <mergeCell ref="A1:E1"/>
    <mergeCell ref="E14:E17"/>
    <mergeCell ref="E45:E48"/>
    <mergeCell ref="B9:C9"/>
    <mergeCell ref="B10:C10"/>
    <mergeCell ref="B11:C11"/>
    <mergeCell ref="A43:C43"/>
    <mergeCell ref="A12:C12"/>
    <mergeCell ref="A3:C3"/>
    <mergeCell ref="A4:C4"/>
    <mergeCell ref="A5:C5"/>
    <mergeCell ref="B40:C40"/>
    <mergeCell ref="A2:E2"/>
    <mergeCell ref="B41:C41"/>
    <mergeCell ref="B42:C42"/>
    <mergeCell ref="J6:L7"/>
    <mergeCell ref="E76:E79"/>
    <mergeCell ref="B71:C71"/>
    <mergeCell ref="B72:C72"/>
    <mergeCell ref="B73:C73"/>
    <mergeCell ref="A74:C74"/>
  </mergeCells>
  <conditionalFormatting sqref="E11">
    <cfRule type="expression" dxfId="69" priority="5">
      <formula>E11="Please answer both questions below."</formula>
    </cfRule>
    <cfRule type="expression" dxfId="68" priority="7">
      <formula>E11="Please answer all five questions below."</formula>
    </cfRule>
  </conditionalFormatting>
  <conditionalFormatting sqref="E42">
    <cfRule type="expression" dxfId="67" priority="3">
      <formula>E42="Please answer both questions below."</formula>
    </cfRule>
    <cfRule type="expression" dxfId="66" priority="4">
      <formula>E42="Please answer all five questions below."</formula>
    </cfRule>
  </conditionalFormatting>
  <conditionalFormatting sqref="E73">
    <cfRule type="expression" dxfId="65" priority="1">
      <formula>E73="Please answer both questions below."</formula>
    </cfRule>
    <cfRule type="expression" dxfId="64" priority="2">
      <formula>E73="Please answer all five questions below."</formula>
    </cfRule>
  </conditionalFormatting>
  <conditionalFormatting sqref="K12">
    <cfRule type="cellIs" dxfId="63" priority="10" operator="equal">
      <formula>"&lt;- Debits and Credits do not equal each other."</formula>
    </cfRule>
  </conditionalFormatting>
  <conditionalFormatting sqref="K43">
    <cfRule type="cellIs" dxfId="62" priority="9" operator="equal">
      <formula>"&lt;- Debits and Credits do not equal each other."</formula>
    </cfRule>
  </conditionalFormatting>
  <conditionalFormatting sqref="K74">
    <cfRule type="cellIs" dxfId="61" priority="8" operator="equal">
      <formula>"&lt;- Debits and Credits do not equal each other."</formula>
    </cfRule>
  </conditionalFormatting>
  <dataValidations count="2">
    <dataValidation type="whole" operator="greaterThanOrEqual" allowBlank="1" showErrorMessage="1" errorTitle="Whole Number Only" error="Enter amounts as whole numbers only." sqref="B76:C99 B45:C68 B14:C37" xr:uid="{00000000-0002-0000-0900-000000000000}">
      <formula1>0</formula1>
    </dataValidation>
    <dataValidation type="whole" operator="greaterThanOrEqual" allowBlank="1" showErrorMessage="1" errorTitle="Whole Numbers Only" error="Enter amounts as whole numbers only." promptTitle="Whole Numbers" prompt="Enter whole numbers only." sqref="K14:L37 K45:L68 K76:L99" xr:uid="{219ADDCF-B57B-4A6F-BABA-1362421F42E9}">
      <formula1>0</formula1>
    </dataValidation>
  </dataValidations>
  <pageMargins left="0.7" right="0.7" top="0.75" bottom="0.75" header="0.3" footer="0.3"/>
  <pageSetup scale="59" fitToHeight="0" orientation="landscape" r:id="rId1"/>
  <headerFooter>
    <oddHeader>&amp;C&amp;"Arial,Bold"&amp;14GASB 87
Lessor Department Note Disclosure Form</oddHeader>
    <oddFooter>&amp;L&amp;"arial,Regular"&amp;12State Controller's Office&amp;C&amp;"arial,Regular"&amp;12
Department Note Disclosures
&amp;R&amp;"arial,Regular"&amp;12Page &amp;P of &amp;N</oddFooter>
  </headerFooter>
  <rowBreaks count="2" manualBreakCount="2">
    <brk id="38" max="4" man="1"/>
    <brk id="68" max="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2000000}">
          <x14:formula1>
            <xm:f>'Drop Down Menus'!$D$1:$D$2</xm:f>
          </x14:formula1>
          <xm:sqref>E18 E49 E80 E22 E53 E84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75DBFF"/>
    <pageSetUpPr fitToPage="1"/>
  </sheetPr>
  <dimension ref="A1:S577"/>
  <sheetViews>
    <sheetView showGridLines="0" zoomScaleNormal="100" workbookViewId="0">
      <selection activeCell="B1" sqref="B1"/>
    </sheetView>
  </sheetViews>
  <sheetFormatPr defaultColWidth="0" defaultRowHeight="15" zeroHeight="1" x14ac:dyDescent="0.25"/>
  <cols>
    <col min="1" max="1" width="2.85546875" style="108" customWidth="1"/>
    <col min="2" max="2" width="13.85546875" style="108" customWidth="1"/>
    <col min="3" max="3" width="2.85546875" style="130" customWidth="1"/>
    <col min="4" max="4" width="13.85546875" style="108" customWidth="1"/>
    <col min="5" max="5" width="2.85546875" style="130" customWidth="1"/>
    <col min="6" max="6" width="13.85546875" style="108" customWidth="1"/>
    <col min="7" max="7" width="2.85546875" style="108" customWidth="1"/>
    <col min="8" max="8" width="13.85546875" style="108" customWidth="1"/>
    <col min="9" max="9" width="2.85546875" style="108" customWidth="1"/>
    <col min="10" max="10" width="13.85546875" style="108" customWidth="1"/>
    <col min="11" max="11" width="2.85546875" style="130" customWidth="1"/>
    <col min="12" max="12" width="19.140625" style="108" customWidth="1"/>
    <col min="13" max="13" width="2.85546875" style="130" customWidth="1"/>
    <col min="14" max="14" width="25.85546875" style="108" customWidth="1"/>
    <col min="15" max="15" width="2.85546875" style="108" customWidth="1"/>
    <col min="16" max="16" width="13.85546875" style="108" customWidth="1"/>
    <col min="17" max="17" width="2.85546875" style="108" customWidth="1"/>
    <col min="18" max="19" width="0" style="108" hidden="1" customWidth="1"/>
    <col min="20" max="16384" width="9.140625" style="108" hidden="1"/>
  </cols>
  <sheetData>
    <row r="1" spans="1:17" s="103" customFormat="1" ht="15.75" x14ac:dyDescent="0.25">
      <c r="A1" s="98" t="s">
        <v>1665</v>
      </c>
      <c r="B1" s="99"/>
      <c r="C1" s="100"/>
      <c r="D1" s="99"/>
      <c r="E1" s="100"/>
      <c r="F1" s="101"/>
      <c r="G1" s="101"/>
      <c r="H1" s="101"/>
      <c r="I1" s="101"/>
      <c r="J1" s="101"/>
      <c r="K1" s="102"/>
      <c r="L1" s="101"/>
      <c r="M1" s="102"/>
      <c r="N1" s="99"/>
      <c r="O1" s="99"/>
      <c r="P1" s="99"/>
      <c r="Q1" s="99"/>
    </row>
    <row r="2" spans="1:17" s="103" customFormat="1" ht="15.75" x14ac:dyDescent="0.25">
      <c r="A2" s="98" t="s">
        <v>148</v>
      </c>
      <c r="B2" s="99"/>
      <c r="C2" s="100"/>
      <c r="D2" s="99"/>
      <c r="E2" s="100"/>
      <c r="F2" s="99"/>
      <c r="G2" s="99"/>
      <c r="H2" s="99"/>
      <c r="I2" s="99"/>
      <c r="J2" s="99"/>
      <c r="K2" s="100"/>
      <c r="L2" s="99"/>
      <c r="M2" s="100"/>
      <c r="N2" s="99"/>
      <c r="O2" s="99"/>
      <c r="P2" s="99"/>
      <c r="Q2" s="99"/>
    </row>
    <row r="3" spans="1:17" s="103" customFormat="1" ht="15.75" x14ac:dyDescent="0.25">
      <c r="C3" s="104"/>
      <c r="E3" s="104"/>
      <c r="K3" s="104"/>
      <c r="M3" s="104"/>
    </row>
    <row r="4" spans="1:17" x14ac:dyDescent="0.25">
      <c r="A4" s="105" t="s">
        <v>149</v>
      </c>
      <c r="B4" s="106"/>
      <c r="C4" s="107"/>
      <c r="D4" s="106"/>
      <c r="E4" s="107"/>
      <c r="F4" s="106"/>
      <c r="G4" s="106"/>
      <c r="H4" s="106"/>
      <c r="I4" s="106"/>
      <c r="J4" s="106"/>
      <c r="K4" s="107"/>
      <c r="L4" s="106"/>
      <c r="M4" s="107"/>
      <c r="N4" s="106"/>
      <c r="O4" s="106"/>
      <c r="P4" s="106"/>
      <c r="Q4" s="106"/>
    </row>
    <row r="5" spans="1:17" ht="15" customHeight="1" x14ac:dyDescent="0.25">
      <c r="A5" s="436" t="s">
        <v>1666</v>
      </c>
      <c r="B5" s="436"/>
      <c r="C5" s="436"/>
      <c r="D5" s="436"/>
      <c r="E5" s="436"/>
      <c r="F5" s="436"/>
      <c r="G5" s="436"/>
      <c r="H5" s="436"/>
      <c r="I5" s="436"/>
      <c r="J5" s="436"/>
      <c r="K5" s="436"/>
      <c r="L5" s="436"/>
      <c r="M5" s="436"/>
      <c r="N5" s="436"/>
      <c r="O5" s="436"/>
      <c r="P5" s="436"/>
      <c r="Q5" s="436"/>
    </row>
    <row r="6" spans="1:17" ht="15" customHeight="1" x14ac:dyDescent="0.25">
      <c r="A6" s="436"/>
      <c r="B6" s="436"/>
      <c r="C6" s="436"/>
      <c r="D6" s="436"/>
      <c r="E6" s="436"/>
      <c r="F6" s="436"/>
      <c r="G6" s="436"/>
      <c r="H6" s="436"/>
      <c r="I6" s="436"/>
      <c r="J6" s="436"/>
      <c r="K6" s="436"/>
      <c r="L6" s="436"/>
      <c r="M6" s="436"/>
      <c r="N6" s="436"/>
      <c r="O6" s="436"/>
      <c r="P6" s="436"/>
      <c r="Q6" s="436"/>
    </row>
    <row r="7" spans="1:17" x14ac:dyDescent="0.25">
      <c r="A7" s="436"/>
      <c r="B7" s="436"/>
      <c r="C7" s="436"/>
      <c r="D7" s="436"/>
      <c r="E7" s="436"/>
      <c r="F7" s="436"/>
      <c r="G7" s="436"/>
      <c r="H7" s="436"/>
      <c r="I7" s="436"/>
      <c r="J7" s="436"/>
      <c r="K7" s="436"/>
      <c r="L7" s="436"/>
      <c r="M7" s="436"/>
      <c r="N7" s="436"/>
      <c r="O7" s="436"/>
      <c r="P7" s="436"/>
      <c r="Q7" s="436"/>
    </row>
    <row r="8" spans="1:17" ht="15" customHeight="1" x14ac:dyDescent="0.25">
      <c r="A8" s="437" t="s">
        <v>1654</v>
      </c>
      <c r="B8" s="437"/>
      <c r="C8" s="437"/>
      <c r="D8" s="437"/>
      <c r="E8" s="437"/>
      <c r="F8" s="437"/>
      <c r="G8" s="437"/>
      <c r="H8" s="437"/>
      <c r="I8" s="437"/>
      <c r="J8" s="437"/>
      <c r="K8" s="437"/>
      <c r="L8" s="437"/>
      <c r="M8" s="437"/>
      <c r="N8" s="437"/>
      <c r="O8" s="437"/>
      <c r="P8" s="437"/>
      <c r="Q8" s="437"/>
    </row>
    <row r="9" spans="1:17" x14ac:dyDescent="0.25">
      <c r="A9" s="437"/>
      <c r="B9" s="437"/>
      <c r="C9" s="437"/>
      <c r="D9" s="437"/>
      <c r="E9" s="437"/>
      <c r="F9" s="437"/>
      <c r="G9" s="437"/>
      <c r="H9" s="437"/>
      <c r="I9" s="437"/>
      <c r="J9" s="437"/>
      <c r="K9" s="437"/>
      <c r="L9" s="437"/>
      <c r="M9" s="437"/>
      <c r="N9" s="437"/>
      <c r="O9" s="437"/>
      <c r="P9" s="437"/>
      <c r="Q9" s="437"/>
    </row>
    <row r="10" spans="1:17" x14ac:dyDescent="0.25">
      <c r="A10" s="105" t="s">
        <v>1667</v>
      </c>
      <c r="B10" s="106"/>
      <c r="C10" s="107"/>
      <c r="D10" s="106"/>
      <c r="E10" s="107"/>
      <c r="F10" s="106"/>
      <c r="G10" s="106"/>
      <c r="H10" s="106"/>
      <c r="I10" s="106"/>
      <c r="J10" s="106"/>
      <c r="K10" s="107"/>
      <c r="L10" s="106"/>
      <c r="M10" s="107"/>
      <c r="N10" s="106"/>
      <c r="O10" s="106"/>
      <c r="P10" s="106"/>
      <c r="Q10" s="106"/>
    </row>
    <row r="11" spans="1:17" x14ac:dyDescent="0.25">
      <c r="A11" s="109"/>
      <c r="B11" s="135" t="s">
        <v>167</v>
      </c>
      <c r="C11" s="135"/>
      <c r="D11" s="109"/>
      <c r="E11" s="110"/>
      <c r="F11" s="109"/>
      <c r="G11" s="109"/>
      <c r="H11" s="109"/>
      <c r="I11" s="109"/>
      <c r="J11" s="109"/>
      <c r="K11" s="110"/>
      <c r="L11" s="109"/>
      <c r="M11" s="110"/>
      <c r="N11" s="109"/>
      <c r="O11" s="109"/>
      <c r="P11" s="109"/>
      <c r="Q11" s="109"/>
    </row>
    <row r="12" spans="1:17" ht="6.75" customHeight="1" x14ac:dyDescent="0.25">
      <c r="A12" s="109"/>
      <c r="B12" s="109"/>
      <c r="C12" s="110"/>
      <c r="D12" s="109"/>
      <c r="E12" s="110"/>
      <c r="F12" s="109"/>
      <c r="G12" s="109"/>
      <c r="H12" s="109"/>
      <c r="I12" s="109"/>
      <c r="J12" s="109"/>
      <c r="K12" s="110"/>
      <c r="L12" s="109"/>
      <c r="M12" s="110"/>
      <c r="N12" s="109"/>
      <c r="O12" s="109"/>
      <c r="P12" s="109"/>
      <c r="Q12" s="109"/>
    </row>
    <row r="13" spans="1:17" ht="15" customHeight="1" x14ac:dyDescent="0.25">
      <c r="A13" s="109"/>
      <c r="B13" s="438" t="s">
        <v>150</v>
      </c>
      <c r="C13" s="438"/>
      <c r="D13" s="438"/>
      <c r="E13" s="438"/>
      <c r="F13" s="438"/>
      <c r="G13" s="438"/>
      <c r="H13" s="438"/>
      <c r="I13" s="438"/>
      <c r="J13" s="438"/>
      <c r="K13" s="438"/>
      <c r="L13" s="438"/>
      <c r="M13" s="110"/>
      <c r="N13" s="111" t="s">
        <v>151</v>
      </c>
      <c r="O13" s="112"/>
      <c r="P13" s="112"/>
      <c r="Q13" s="109"/>
    </row>
    <row r="14" spans="1:17" ht="15" customHeight="1" x14ac:dyDescent="0.25">
      <c r="A14" s="109"/>
      <c r="B14" s="218" t="s">
        <v>1683</v>
      </c>
      <c r="C14" s="218"/>
      <c r="D14" s="218" t="s">
        <v>14</v>
      </c>
      <c r="E14" s="218"/>
      <c r="F14" s="218" t="s">
        <v>15</v>
      </c>
      <c r="G14" s="218"/>
      <c r="H14" s="218" t="s">
        <v>1684</v>
      </c>
      <c r="I14" s="218"/>
      <c r="J14" s="218" t="s">
        <v>1685</v>
      </c>
      <c r="K14" s="218"/>
      <c r="L14" s="218"/>
      <c r="M14" s="110"/>
      <c r="N14" s="116"/>
      <c r="O14" s="112"/>
      <c r="P14" s="112"/>
      <c r="Q14" s="109"/>
    </row>
    <row r="15" spans="1:17" ht="15" customHeight="1" x14ac:dyDescent="0.25">
      <c r="A15" s="109"/>
      <c r="B15" s="113" t="s">
        <v>152</v>
      </c>
      <c r="C15" s="114" t="s">
        <v>153</v>
      </c>
      <c r="D15" s="113" t="s">
        <v>1670</v>
      </c>
      <c r="E15" s="113" t="s">
        <v>154</v>
      </c>
      <c r="F15" s="113" t="s">
        <v>1671</v>
      </c>
      <c r="G15" s="113" t="s">
        <v>154</v>
      </c>
      <c r="H15" s="113" t="s">
        <v>1672</v>
      </c>
      <c r="I15" s="113" t="s">
        <v>153</v>
      </c>
      <c r="J15" s="113" t="s">
        <v>159</v>
      </c>
      <c r="K15" s="114"/>
      <c r="L15" s="113"/>
      <c r="M15" s="114"/>
      <c r="N15" s="115" t="s">
        <v>1668</v>
      </c>
      <c r="O15" s="112"/>
      <c r="P15" s="116" t="s">
        <v>156</v>
      </c>
      <c r="Q15" s="109"/>
    </row>
    <row r="16" spans="1:17" ht="15" customHeight="1" x14ac:dyDescent="0.25">
      <c r="A16" s="117"/>
      <c r="B16" s="118">
        <f>IF('LR-Fund #### Journal Entries'!$E$8="Governmental Fund",'LR-Fund #### Journal Entries'!$J$14,0)</f>
        <v>0</v>
      </c>
      <c r="C16" s="153" t="s">
        <v>153</v>
      </c>
      <c r="D16" s="118">
        <f>IF('LR-Fund #### Journal Entries'!$E$8="Governmental Fund",'LR-Fund #### Journal Entries'!$J$24,0)</f>
        <v>0</v>
      </c>
      <c r="E16" s="155" t="s">
        <v>154</v>
      </c>
      <c r="F16" s="118">
        <f>IF('LR-Fund #### Journal Entries'!$E$8="Governmental Fund",'LR-Fund #### Journal Entries'!$K$31,0)</f>
        <v>0</v>
      </c>
      <c r="G16" s="154" t="s">
        <v>154</v>
      </c>
      <c r="H16" s="118">
        <f>IF('LR-Fund #### Journal Entries'!$E$8="Governmental Fund",'LR-Fund #### Journal Entries'!$K$52,0)</f>
        <v>0</v>
      </c>
      <c r="I16" s="154" t="s">
        <v>153</v>
      </c>
      <c r="J16" s="118">
        <f>IF('LR-Fund #### Journal Entries'!$E$8="Governmental Fund",'LR-Fund #### Journal Entries'!$J$58,0)</f>
        <v>0</v>
      </c>
      <c r="K16" s="155" t="s">
        <v>157</v>
      </c>
      <c r="L16" s="121">
        <f>ROUND(+B16+D16-F16-H16+J16,0)</f>
        <v>0</v>
      </c>
      <c r="M16" s="120"/>
      <c r="N16" s="122">
        <f>ROUND(SUM('LR-Department Note Disclosure'!B14:B37),0)</f>
        <v>0</v>
      </c>
      <c r="O16" s="119"/>
      <c r="P16" s="123">
        <f>L16-N16</f>
        <v>0</v>
      </c>
      <c r="Q16" s="109"/>
    </row>
    <row r="17" spans="1:17" ht="6" customHeight="1" x14ac:dyDescent="0.25">
      <c r="A17" s="117"/>
      <c r="B17" s="117"/>
      <c r="C17" s="124"/>
      <c r="D17" s="117"/>
      <c r="E17" s="124"/>
      <c r="F17" s="117"/>
      <c r="G17" s="117"/>
      <c r="H17" s="117"/>
      <c r="I17" s="117"/>
      <c r="J17" s="117"/>
      <c r="K17" s="124"/>
      <c r="L17" s="117"/>
      <c r="M17" s="124"/>
      <c r="N17" s="117"/>
      <c r="O17" s="117"/>
      <c r="P17" s="117"/>
      <c r="Q17" s="109"/>
    </row>
    <row r="18" spans="1:17" ht="15" customHeight="1" x14ac:dyDescent="0.25">
      <c r="A18" s="117"/>
      <c r="B18" s="117"/>
      <c r="C18" s="124"/>
      <c r="D18" s="125" t="str">
        <f>IF(OR(P16&gt;0, (P16&lt;0)), "Please review and correct the variance.","")</f>
        <v/>
      </c>
      <c r="E18" s="124"/>
      <c r="F18" s="117"/>
      <c r="G18" s="117"/>
      <c r="H18" s="117"/>
      <c r="I18" s="117"/>
      <c r="J18" s="117"/>
      <c r="K18" s="124"/>
      <c r="L18" s="117"/>
      <c r="M18" s="124"/>
      <c r="N18" s="117"/>
      <c r="O18" s="117"/>
      <c r="P18" s="117"/>
      <c r="Q18" s="109"/>
    </row>
    <row r="19" spans="1:17" x14ac:dyDescent="0.25">
      <c r="A19" s="109"/>
      <c r="B19" s="135" t="s">
        <v>168</v>
      </c>
      <c r="C19" s="135"/>
      <c r="D19" s="109"/>
      <c r="E19" s="110"/>
      <c r="F19" s="109"/>
      <c r="G19" s="109"/>
      <c r="H19" s="109"/>
      <c r="I19" s="109"/>
      <c r="J19" s="109"/>
      <c r="K19" s="110"/>
      <c r="L19" s="109"/>
      <c r="M19" s="110"/>
      <c r="N19" s="109"/>
      <c r="O19" s="109"/>
      <c r="P19" s="109"/>
      <c r="Q19" s="109"/>
    </row>
    <row r="20" spans="1:17" ht="6" customHeight="1" x14ac:dyDescent="0.25">
      <c r="A20" s="109"/>
      <c r="B20" s="109"/>
      <c r="C20" s="110"/>
      <c r="D20" s="109"/>
      <c r="E20" s="110"/>
      <c r="F20" s="109"/>
      <c r="G20" s="109"/>
      <c r="H20" s="109"/>
      <c r="I20" s="109"/>
      <c r="J20" s="109"/>
      <c r="K20" s="110"/>
      <c r="L20" s="109"/>
      <c r="M20" s="110"/>
      <c r="N20" s="109"/>
      <c r="O20" s="109"/>
      <c r="P20" s="109"/>
      <c r="Q20" s="109"/>
    </row>
    <row r="21" spans="1:17" ht="15" customHeight="1" x14ac:dyDescent="0.25">
      <c r="A21" s="109"/>
      <c r="B21" s="438" t="s">
        <v>150</v>
      </c>
      <c r="C21" s="438"/>
      <c r="D21" s="438"/>
      <c r="E21" s="438"/>
      <c r="F21" s="438"/>
      <c r="G21" s="438"/>
      <c r="H21" s="438"/>
      <c r="I21" s="438"/>
      <c r="J21" s="438"/>
      <c r="K21" s="438"/>
      <c r="L21" s="438"/>
      <c r="M21" s="110"/>
      <c r="N21" s="111" t="s">
        <v>151</v>
      </c>
      <c r="O21" s="112"/>
      <c r="P21" s="112"/>
      <c r="Q21" s="109"/>
    </row>
    <row r="22" spans="1:17" ht="15" customHeight="1" x14ac:dyDescent="0.25">
      <c r="A22" s="109"/>
      <c r="B22" s="218" t="s">
        <v>1683</v>
      </c>
      <c r="C22" s="218"/>
      <c r="D22" s="218" t="s">
        <v>14</v>
      </c>
      <c r="E22" s="218"/>
      <c r="F22" s="218" t="s">
        <v>15</v>
      </c>
      <c r="G22" s="218"/>
      <c r="H22" s="218" t="s">
        <v>1684</v>
      </c>
      <c r="I22" s="218"/>
      <c r="J22" s="218" t="s">
        <v>1685</v>
      </c>
      <c r="K22" s="218"/>
      <c r="L22" s="218"/>
      <c r="M22" s="110"/>
      <c r="N22" s="116"/>
      <c r="O22" s="112"/>
      <c r="P22" s="112"/>
      <c r="Q22" s="109"/>
    </row>
    <row r="23" spans="1:17" ht="15" customHeight="1" x14ac:dyDescent="0.25">
      <c r="A23" s="109"/>
      <c r="B23" s="113" t="s">
        <v>152</v>
      </c>
      <c r="C23" s="114" t="s">
        <v>153</v>
      </c>
      <c r="D23" s="113" t="s">
        <v>1670</v>
      </c>
      <c r="E23" s="113" t="s">
        <v>154</v>
      </c>
      <c r="F23" s="113" t="s">
        <v>1671</v>
      </c>
      <c r="G23" s="113" t="s">
        <v>154</v>
      </c>
      <c r="H23" s="113" t="s">
        <v>1672</v>
      </c>
      <c r="I23" s="113" t="s">
        <v>153</v>
      </c>
      <c r="J23" s="113" t="s">
        <v>159</v>
      </c>
      <c r="K23" s="114"/>
      <c r="L23" s="113"/>
      <c r="M23" s="114"/>
      <c r="N23" s="115" t="s">
        <v>1668</v>
      </c>
      <c r="O23" s="112"/>
      <c r="P23" s="116" t="s">
        <v>156</v>
      </c>
      <c r="Q23" s="109"/>
    </row>
    <row r="24" spans="1:17" ht="15" customHeight="1" x14ac:dyDescent="0.25">
      <c r="A24" s="117"/>
      <c r="B24" s="118">
        <f>IF('LR-Fund #### Journal Entries'!$E$8="Proprietary - Internal Service Fund",'LR-Fund #### Journal Entries'!$J$14,0)</f>
        <v>0</v>
      </c>
      <c r="C24" s="153" t="s">
        <v>153</v>
      </c>
      <c r="D24" s="118">
        <f>IF('LR-Fund #### Journal Entries'!$E$8="Proprietary - Internal Service Fund",'LR-Fund #### Journal Entries'!$J$24,0)</f>
        <v>0</v>
      </c>
      <c r="E24" s="155" t="s">
        <v>154</v>
      </c>
      <c r="F24" s="118">
        <f>IF('LR-Fund #### Journal Entries'!$E$8="Proprietary - Internal Service Fund",'LR-Fund #### Journal Entries'!$K$31,0)</f>
        <v>0</v>
      </c>
      <c r="G24" s="154" t="s">
        <v>154</v>
      </c>
      <c r="H24" s="118">
        <f>IF('LR-Fund #### Journal Entries'!$E$8="Proprietary - Internal Service Fund",'LR-Fund #### Journal Entries'!$K$52,0)</f>
        <v>0</v>
      </c>
      <c r="I24" s="154" t="s">
        <v>153</v>
      </c>
      <c r="J24" s="118">
        <f>IF('LR-Fund #### Journal Entries'!$E$8="Proprietary - Internal Service Fund",'LR-Fund #### Journal Entries'!$J$58,0)</f>
        <v>0</v>
      </c>
      <c r="K24" s="155" t="s">
        <v>157</v>
      </c>
      <c r="L24" s="121">
        <f>ROUND(+B24+D24-F24-H24+J24,0)</f>
        <v>0</v>
      </c>
      <c r="M24" s="120"/>
      <c r="N24" s="122">
        <f>ROUND(SUM('LR-Department Note Disclosure'!B45:B68),0)</f>
        <v>0</v>
      </c>
      <c r="O24" s="119"/>
      <c r="P24" s="123">
        <f>L24-N24</f>
        <v>0</v>
      </c>
      <c r="Q24" s="109"/>
    </row>
    <row r="25" spans="1:17" ht="6" customHeight="1" x14ac:dyDescent="0.25">
      <c r="A25" s="117"/>
      <c r="B25" s="117"/>
      <c r="C25" s="124"/>
      <c r="D25" s="117"/>
      <c r="E25" s="124"/>
      <c r="F25" s="117"/>
      <c r="G25" s="117"/>
      <c r="H25" s="117"/>
      <c r="I25" s="117"/>
      <c r="J25" s="117"/>
      <c r="K25" s="124"/>
      <c r="L25" s="117"/>
      <c r="M25" s="124"/>
      <c r="N25" s="117"/>
      <c r="O25" s="117"/>
      <c r="P25" s="117"/>
      <c r="Q25" s="109"/>
    </row>
    <row r="26" spans="1:17" ht="15" customHeight="1" x14ac:dyDescent="0.25">
      <c r="A26" s="117"/>
      <c r="B26" s="117"/>
      <c r="C26" s="124"/>
      <c r="D26" s="125" t="str">
        <f>IF(OR(P24&gt;0, (P24&lt;0)), "Please review and correct the variance.","")</f>
        <v/>
      </c>
      <c r="E26" s="124"/>
      <c r="F26" s="117"/>
      <c r="G26" s="117"/>
      <c r="H26" s="117"/>
      <c r="I26" s="117"/>
      <c r="J26" s="117"/>
      <c r="K26" s="124"/>
      <c r="L26" s="117"/>
      <c r="M26" s="124"/>
      <c r="N26" s="117"/>
      <c r="O26" s="117"/>
      <c r="P26" s="117"/>
      <c r="Q26" s="109"/>
    </row>
    <row r="27" spans="1:17" ht="6" customHeight="1" x14ac:dyDescent="0.25">
      <c r="A27" s="109"/>
      <c r="B27" s="126"/>
      <c r="C27" s="110"/>
      <c r="D27" s="126"/>
      <c r="E27" s="110"/>
      <c r="F27" s="126"/>
      <c r="G27" s="126"/>
      <c r="H27" s="126"/>
      <c r="I27" s="126"/>
      <c r="J27" s="126"/>
      <c r="K27" s="110"/>
      <c r="L27" s="126"/>
      <c r="M27" s="110"/>
      <c r="N27" s="126"/>
      <c r="O27" s="126"/>
      <c r="P27" s="126"/>
      <c r="Q27" s="109"/>
    </row>
    <row r="28" spans="1:17" x14ac:dyDescent="0.25">
      <c r="A28" s="109"/>
      <c r="B28" s="135" t="s">
        <v>169</v>
      </c>
      <c r="C28" s="135"/>
      <c r="D28" s="109"/>
      <c r="E28" s="110"/>
      <c r="F28" s="109"/>
      <c r="G28" s="109"/>
      <c r="H28" s="109"/>
      <c r="I28" s="109"/>
      <c r="J28" s="109"/>
      <c r="K28" s="110"/>
      <c r="L28" s="109"/>
      <c r="M28" s="110"/>
      <c r="N28" s="109"/>
      <c r="O28" s="109"/>
      <c r="P28" s="109"/>
      <c r="Q28" s="109"/>
    </row>
    <row r="29" spans="1:17" ht="6" customHeight="1" x14ac:dyDescent="0.25">
      <c r="A29" s="109"/>
      <c r="B29" s="109"/>
      <c r="C29" s="110"/>
      <c r="D29" s="109"/>
      <c r="E29" s="110"/>
      <c r="F29" s="109"/>
      <c r="G29" s="109"/>
      <c r="H29" s="109"/>
      <c r="I29" s="109"/>
      <c r="J29" s="109"/>
      <c r="K29" s="110"/>
      <c r="L29" s="109"/>
      <c r="M29" s="110"/>
      <c r="N29" s="109"/>
      <c r="O29" s="109"/>
      <c r="P29" s="109"/>
      <c r="Q29" s="109"/>
    </row>
    <row r="30" spans="1:17" ht="15" customHeight="1" x14ac:dyDescent="0.25">
      <c r="A30" s="109"/>
      <c r="B30" s="438" t="s">
        <v>150</v>
      </c>
      <c r="C30" s="438"/>
      <c r="D30" s="438"/>
      <c r="E30" s="438"/>
      <c r="F30" s="438"/>
      <c r="G30" s="438"/>
      <c r="H30" s="438"/>
      <c r="I30" s="438"/>
      <c r="J30" s="438"/>
      <c r="K30" s="438"/>
      <c r="L30" s="438"/>
      <c r="M30" s="110"/>
      <c r="N30" s="111" t="s">
        <v>151</v>
      </c>
      <c r="O30" s="112"/>
      <c r="P30" s="112"/>
      <c r="Q30" s="109"/>
    </row>
    <row r="31" spans="1:17" ht="15" customHeight="1" x14ac:dyDescent="0.25">
      <c r="A31" s="109"/>
      <c r="B31" s="218" t="s">
        <v>1683</v>
      </c>
      <c r="C31" s="218"/>
      <c r="D31" s="218" t="s">
        <v>14</v>
      </c>
      <c r="E31" s="218"/>
      <c r="F31" s="218" t="s">
        <v>15</v>
      </c>
      <c r="G31" s="218"/>
      <c r="H31" s="218" t="s">
        <v>1684</v>
      </c>
      <c r="I31" s="218"/>
      <c r="J31" s="218" t="s">
        <v>1685</v>
      </c>
      <c r="K31" s="218"/>
      <c r="L31" s="218"/>
      <c r="M31" s="110"/>
      <c r="N31" s="116"/>
      <c r="O31" s="112"/>
      <c r="P31" s="112"/>
      <c r="Q31" s="109"/>
    </row>
    <row r="32" spans="1:17" ht="15" customHeight="1" x14ac:dyDescent="0.25">
      <c r="A32" s="109"/>
      <c r="B32" s="113" t="s">
        <v>152</v>
      </c>
      <c r="C32" s="114" t="s">
        <v>153</v>
      </c>
      <c r="D32" s="113" t="s">
        <v>1670</v>
      </c>
      <c r="E32" s="113" t="s">
        <v>154</v>
      </c>
      <c r="F32" s="113" t="s">
        <v>1671</v>
      </c>
      <c r="G32" s="113" t="s">
        <v>154</v>
      </c>
      <c r="H32" s="113" t="s">
        <v>1672</v>
      </c>
      <c r="I32" s="113" t="s">
        <v>153</v>
      </c>
      <c r="J32" s="113" t="s">
        <v>159</v>
      </c>
      <c r="K32" s="114"/>
      <c r="L32" s="113"/>
      <c r="M32" s="114"/>
      <c r="N32" s="115" t="s">
        <v>1668</v>
      </c>
      <c r="O32" s="112"/>
      <c r="P32" s="116" t="s">
        <v>156</v>
      </c>
      <c r="Q32" s="109"/>
    </row>
    <row r="33" spans="1:17" ht="15" customHeight="1" x14ac:dyDescent="0.25">
      <c r="A33" s="117"/>
      <c r="B33" s="118">
        <f>IF('LR-Fund #### Journal Entries'!$E$8="Proprietary - Enterprise Fund",'LR-Fund #### Journal Entries'!$J$14,0)</f>
        <v>0</v>
      </c>
      <c r="C33" s="153" t="s">
        <v>153</v>
      </c>
      <c r="D33" s="118">
        <f>IF('LR-Fund #### Journal Entries'!$E$8="Proprietary - Enterprise Fund",'LR-Fund #### Journal Entries'!$J$24,0)</f>
        <v>0</v>
      </c>
      <c r="E33" s="155" t="s">
        <v>154</v>
      </c>
      <c r="F33" s="118">
        <f>IF('LR-Fund #### Journal Entries'!$E$8="Proprietary - Enterprise Fund",'LR-Fund #### Journal Entries'!$K$31,0)</f>
        <v>0</v>
      </c>
      <c r="G33" s="154" t="s">
        <v>154</v>
      </c>
      <c r="H33" s="118">
        <f>IF('LR-Fund #### Journal Entries'!$E$8="Proprietary - Enterprise Fund",'LR-Fund #### Journal Entries'!$K$52,0)</f>
        <v>0</v>
      </c>
      <c r="I33" s="154" t="s">
        <v>153</v>
      </c>
      <c r="J33" s="118">
        <f>IF('LR-Fund #### Journal Entries'!$E$8="Proprietary - Enterprise Fund",'LR-Fund #### Journal Entries'!$J$58,0)</f>
        <v>0</v>
      </c>
      <c r="K33" s="155" t="s">
        <v>157</v>
      </c>
      <c r="L33" s="121">
        <f>ROUND(+B33+D33-F33-H33+J33,0)</f>
        <v>0</v>
      </c>
      <c r="M33" s="120"/>
      <c r="N33" s="122">
        <f>ROUND(SUM('LR-Department Note Disclosure'!B76:B99),0)</f>
        <v>0</v>
      </c>
      <c r="O33" s="119"/>
      <c r="P33" s="123">
        <f>L33-N33</f>
        <v>0</v>
      </c>
      <c r="Q33" s="109"/>
    </row>
    <row r="34" spans="1:17" ht="6" customHeight="1" x14ac:dyDescent="0.25">
      <c r="A34" s="117"/>
      <c r="B34" s="117"/>
      <c r="C34" s="124"/>
      <c r="D34" s="117"/>
      <c r="E34" s="124"/>
      <c r="F34" s="117"/>
      <c r="G34" s="117"/>
      <c r="H34" s="117"/>
      <c r="I34" s="117"/>
      <c r="J34" s="117"/>
      <c r="K34" s="124"/>
      <c r="L34" s="117"/>
      <c r="M34" s="124"/>
      <c r="N34" s="117"/>
      <c r="O34" s="117"/>
      <c r="P34" s="117"/>
      <c r="Q34" s="109"/>
    </row>
    <row r="35" spans="1:17" ht="15" customHeight="1" x14ac:dyDescent="0.25">
      <c r="A35" s="117"/>
      <c r="B35" s="117"/>
      <c r="C35" s="124"/>
      <c r="D35" s="125" t="str">
        <f>IF(OR(P33&gt;0, (P33&lt;0)), "Please review and correct the variance.","")</f>
        <v/>
      </c>
      <c r="E35" s="124"/>
      <c r="F35" s="117"/>
      <c r="G35" s="117"/>
      <c r="H35" s="117"/>
      <c r="I35" s="117"/>
      <c r="J35" s="117"/>
      <c r="K35" s="124"/>
      <c r="L35" s="117"/>
      <c r="M35" s="124"/>
      <c r="N35" s="117"/>
      <c r="O35" s="117"/>
      <c r="P35" s="117"/>
      <c r="Q35" s="109"/>
    </row>
    <row r="36" spans="1:17" ht="6" customHeight="1" x14ac:dyDescent="0.25">
      <c r="A36" s="109"/>
      <c r="B36" s="126"/>
      <c r="C36" s="110"/>
      <c r="D36" s="126"/>
      <c r="E36" s="110"/>
      <c r="F36" s="126"/>
      <c r="G36" s="126"/>
      <c r="H36" s="126"/>
      <c r="I36" s="126"/>
      <c r="J36" s="126"/>
      <c r="K36" s="110"/>
      <c r="L36" s="126"/>
      <c r="M36" s="110"/>
      <c r="N36" s="126"/>
      <c r="O36" s="126"/>
      <c r="P36" s="126"/>
      <c r="Q36" s="109"/>
    </row>
    <row r="37" spans="1:17" x14ac:dyDescent="0.25">
      <c r="A37" s="105" t="s">
        <v>1669</v>
      </c>
      <c r="B37" s="106"/>
      <c r="C37" s="107"/>
      <c r="D37" s="106"/>
      <c r="E37" s="107"/>
      <c r="F37" s="106"/>
      <c r="G37" s="106"/>
      <c r="H37" s="106"/>
      <c r="I37" s="106"/>
      <c r="J37" s="106"/>
      <c r="K37" s="107"/>
      <c r="L37" s="106"/>
      <c r="M37" s="107"/>
      <c r="N37" s="106"/>
      <c r="O37" s="106"/>
      <c r="P37" s="106"/>
      <c r="Q37" s="106"/>
    </row>
    <row r="38" spans="1:17" ht="15" customHeight="1" x14ac:dyDescent="0.25">
      <c r="A38" s="109"/>
      <c r="B38" s="135" t="s">
        <v>167</v>
      </c>
      <c r="C38" s="135"/>
      <c r="D38" s="109"/>
      <c r="E38" s="110"/>
      <c r="F38" s="109"/>
      <c r="G38" s="109"/>
      <c r="H38" s="109"/>
      <c r="I38" s="109"/>
      <c r="J38" s="109"/>
      <c r="K38" s="110"/>
      <c r="L38" s="109"/>
      <c r="M38" s="110"/>
      <c r="N38" s="109"/>
      <c r="O38" s="109"/>
      <c r="P38" s="109"/>
      <c r="Q38" s="109"/>
    </row>
    <row r="39" spans="1:17" ht="6" customHeight="1" x14ac:dyDescent="0.25">
      <c r="A39" s="109"/>
      <c r="B39" s="109"/>
      <c r="C39" s="110"/>
      <c r="D39" s="109"/>
      <c r="E39" s="110"/>
      <c r="F39" s="109"/>
      <c r="G39" s="109"/>
      <c r="H39" s="109"/>
      <c r="I39" s="109"/>
      <c r="J39" s="109"/>
      <c r="K39" s="110"/>
      <c r="L39" s="109"/>
      <c r="M39" s="110"/>
      <c r="N39" s="109"/>
      <c r="O39" s="109"/>
      <c r="P39" s="109"/>
      <c r="Q39" s="109"/>
    </row>
    <row r="40" spans="1:17" ht="15" customHeight="1" x14ac:dyDescent="0.25">
      <c r="A40" s="109"/>
      <c r="B40" s="438" t="s">
        <v>150</v>
      </c>
      <c r="C40" s="438"/>
      <c r="D40" s="438"/>
      <c r="E40" s="135"/>
      <c r="F40" s="135"/>
      <c r="G40" s="135"/>
      <c r="H40" s="135"/>
      <c r="I40" s="135"/>
      <c r="J40" s="135"/>
      <c r="K40" s="135"/>
      <c r="L40" s="135"/>
      <c r="M40" s="110"/>
      <c r="N40" s="111" t="s">
        <v>151</v>
      </c>
      <c r="O40" s="112"/>
      <c r="P40" s="112"/>
      <c r="Q40" s="109"/>
    </row>
    <row r="41" spans="1:17" ht="15" customHeight="1" x14ac:dyDescent="0.25">
      <c r="A41" s="109"/>
      <c r="B41" s="113" t="s">
        <v>1673</v>
      </c>
      <c r="C41" s="219" t="s">
        <v>1686</v>
      </c>
      <c r="E41" s="109"/>
      <c r="G41" s="113"/>
      <c r="H41" s="113"/>
      <c r="I41" s="113"/>
      <c r="J41" s="113"/>
      <c r="K41" s="109"/>
      <c r="L41" s="109"/>
      <c r="M41" s="114"/>
      <c r="N41" s="235" t="str">
        <f>CONCATENATE('LR-Department Note Disclosure'!$A$14," Principal Payments")</f>
        <v>2025–2026 Principal Payments</v>
      </c>
      <c r="O41" s="112"/>
      <c r="P41" s="116" t="s">
        <v>156</v>
      </c>
      <c r="Q41" s="109"/>
    </row>
    <row r="42" spans="1:17" ht="15" customHeight="1" x14ac:dyDescent="0.25">
      <c r="A42" s="109"/>
      <c r="B42" s="118">
        <f>IF('LR-Fund #### Journal Entries'!$E$8="Governmental Fund",'LR-Fund #### Journal Entries'!$J$41,0)</f>
        <v>0</v>
      </c>
      <c r="C42" s="126"/>
      <c r="E42" s="126"/>
      <c r="G42" s="152"/>
      <c r="H42" s="152"/>
      <c r="I42" s="152"/>
      <c r="J42" s="152"/>
      <c r="K42" s="126"/>
      <c r="L42" s="126"/>
      <c r="M42" s="127"/>
      <c r="N42" s="122">
        <f>ROUND('LR-Department Note Disclosure'!B14,0)</f>
        <v>0</v>
      </c>
      <c r="O42" s="128"/>
      <c r="P42" s="123">
        <f>B42-N42</f>
        <v>0</v>
      </c>
      <c r="Q42" s="109"/>
    </row>
    <row r="43" spans="1:17" ht="6" customHeight="1" x14ac:dyDescent="0.25">
      <c r="A43" s="109"/>
      <c r="B43" s="117"/>
      <c r="C43" s="124"/>
      <c r="D43" s="117"/>
      <c r="E43" s="124"/>
      <c r="F43" s="117"/>
      <c r="G43" s="117"/>
      <c r="H43" s="117"/>
      <c r="I43" s="117"/>
      <c r="J43" s="117"/>
      <c r="K43" s="124"/>
      <c r="L43" s="117"/>
      <c r="M43" s="124"/>
      <c r="N43" s="117"/>
      <c r="O43" s="117"/>
      <c r="P43" s="117"/>
      <c r="Q43" s="109"/>
    </row>
    <row r="44" spans="1:17" ht="17.25" x14ac:dyDescent="0.25">
      <c r="A44" s="109"/>
      <c r="B44" s="117"/>
      <c r="C44" s="124"/>
      <c r="D44" s="125" t="str">
        <f>IF(OR(P42&gt;0, (P42&lt;0)), "Please review and correct the variance.","")</f>
        <v/>
      </c>
      <c r="E44" s="124"/>
      <c r="F44" s="117"/>
      <c r="G44" s="117"/>
      <c r="H44" s="117"/>
      <c r="I44" s="117"/>
      <c r="J44" s="117"/>
      <c r="K44" s="124"/>
      <c r="L44" s="117"/>
      <c r="M44" s="124"/>
      <c r="N44" s="117"/>
      <c r="O44" s="117"/>
      <c r="P44" s="117"/>
      <c r="Q44" s="109"/>
    </row>
    <row r="45" spans="1:17" x14ac:dyDescent="0.25">
      <c r="A45" s="109"/>
      <c r="B45" s="135" t="s">
        <v>168</v>
      </c>
      <c r="C45" s="135"/>
      <c r="D45" s="109"/>
      <c r="E45" s="110"/>
      <c r="F45" s="109"/>
      <c r="G45" s="109"/>
      <c r="H45" s="109"/>
      <c r="I45" s="109"/>
      <c r="J45" s="109"/>
      <c r="K45" s="110"/>
      <c r="L45" s="109"/>
      <c r="M45" s="110"/>
      <c r="N45" s="109"/>
      <c r="O45" s="109"/>
      <c r="P45" s="109"/>
      <c r="Q45" s="109"/>
    </row>
    <row r="46" spans="1:17" ht="6" customHeight="1" x14ac:dyDescent="0.25">
      <c r="A46" s="109"/>
      <c r="B46" s="109"/>
      <c r="C46" s="110"/>
      <c r="D46" s="109"/>
      <c r="E46" s="110"/>
      <c r="F46" s="109"/>
      <c r="G46" s="109"/>
      <c r="H46" s="109"/>
      <c r="I46" s="109"/>
      <c r="J46" s="109"/>
      <c r="K46" s="110"/>
      <c r="L46" s="109"/>
      <c r="M46" s="110"/>
      <c r="N46" s="109"/>
      <c r="O46" s="109"/>
      <c r="P46" s="109"/>
      <c r="Q46" s="109"/>
    </row>
    <row r="47" spans="1:17" ht="15" customHeight="1" x14ac:dyDescent="0.25">
      <c r="A47" s="109"/>
      <c r="B47" s="438" t="s">
        <v>150</v>
      </c>
      <c r="C47" s="438"/>
      <c r="D47" s="438"/>
      <c r="E47" s="135"/>
      <c r="F47" s="135"/>
      <c r="G47" s="135"/>
      <c r="H47" s="135"/>
      <c r="I47" s="135"/>
      <c r="J47" s="135"/>
      <c r="K47" s="135"/>
      <c r="L47" s="135"/>
      <c r="M47" s="110"/>
      <c r="N47" s="111" t="s">
        <v>151</v>
      </c>
      <c r="O47" s="112"/>
      <c r="P47" s="112"/>
      <c r="Q47" s="109"/>
    </row>
    <row r="48" spans="1:17" ht="15" customHeight="1" x14ac:dyDescent="0.25">
      <c r="A48" s="109"/>
      <c r="B48" s="113" t="s">
        <v>1673</v>
      </c>
      <c r="C48" s="219" t="s">
        <v>1686</v>
      </c>
      <c r="E48" s="109"/>
      <c r="G48" s="113"/>
      <c r="H48" s="113"/>
      <c r="I48" s="113"/>
      <c r="J48" s="113"/>
      <c r="K48" s="109"/>
      <c r="L48" s="109"/>
      <c r="M48" s="114"/>
      <c r="N48" s="235" t="str">
        <f>CONCATENATE('LR-Department Note Disclosure'!$A$14," Principal Payments")</f>
        <v>2025–2026 Principal Payments</v>
      </c>
      <c r="O48" s="112"/>
      <c r="P48" s="116" t="s">
        <v>156</v>
      </c>
      <c r="Q48" s="109"/>
    </row>
    <row r="49" spans="1:17" x14ac:dyDescent="0.25">
      <c r="A49" s="109"/>
      <c r="B49" s="118">
        <f>IF('LR-Fund #### Journal Entries'!$E$8="Proprietary - Internal Service Fund",'LR-Fund #### Journal Entries'!$J$41,0)</f>
        <v>0</v>
      </c>
      <c r="C49" s="126"/>
      <c r="E49" s="126"/>
      <c r="G49" s="152"/>
      <c r="H49" s="152"/>
      <c r="I49" s="152"/>
      <c r="J49" s="152"/>
      <c r="K49" s="126"/>
      <c r="L49" s="126"/>
      <c r="M49" s="127"/>
      <c r="N49" s="122">
        <f>ROUND('LR-Department Note Disclosure'!B45,0)</f>
        <v>0</v>
      </c>
      <c r="O49" s="128"/>
      <c r="P49" s="123">
        <f>B49-N49</f>
        <v>0</v>
      </c>
      <c r="Q49" s="109"/>
    </row>
    <row r="50" spans="1:17" ht="6" customHeight="1" x14ac:dyDescent="0.25">
      <c r="A50" s="109"/>
      <c r="B50" s="117"/>
      <c r="C50" s="124"/>
      <c r="D50" s="117"/>
      <c r="E50" s="124"/>
      <c r="F50" s="117"/>
      <c r="G50" s="117"/>
      <c r="H50" s="117"/>
      <c r="I50" s="117"/>
      <c r="J50" s="117"/>
      <c r="K50" s="124"/>
      <c r="L50" s="117"/>
      <c r="M50" s="124"/>
      <c r="N50" s="117"/>
      <c r="O50" s="117"/>
      <c r="P50" s="117"/>
      <c r="Q50" s="109"/>
    </row>
    <row r="51" spans="1:17" ht="17.25" x14ac:dyDescent="0.25">
      <c r="A51" s="109"/>
      <c r="B51" s="109"/>
      <c r="C51" s="109"/>
      <c r="D51" s="125" t="str">
        <f>IF(OR(P49&gt;0, (P49&lt;0)), "Please review and correct the variance.","")</f>
        <v/>
      </c>
      <c r="E51" s="109"/>
      <c r="F51" s="109"/>
      <c r="G51" s="109"/>
      <c r="H51" s="109"/>
      <c r="I51" s="109"/>
      <c r="J51" s="109"/>
      <c r="K51" s="109"/>
      <c r="L51" s="109"/>
      <c r="M51" s="109"/>
      <c r="N51" s="109"/>
      <c r="O51" s="109"/>
      <c r="P51" s="109"/>
      <c r="Q51" s="109"/>
    </row>
    <row r="52" spans="1:17" ht="6" customHeight="1" x14ac:dyDescent="0.25">
      <c r="A52" s="109"/>
      <c r="B52" s="126"/>
      <c r="C52" s="110"/>
      <c r="D52" s="126"/>
      <c r="E52" s="110"/>
      <c r="F52" s="126"/>
      <c r="G52" s="126"/>
      <c r="H52" s="126"/>
      <c r="I52" s="126"/>
      <c r="J52" s="126"/>
      <c r="K52" s="110"/>
      <c r="L52" s="126"/>
      <c r="M52" s="110"/>
      <c r="N52" s="126"/>
      <c r="O52" s="126"/>
      <c r="P52" s="126"/>
      <c r="Q52" s="109"/>
    </row>
    <row r="53" spans="1:17" x14ac:dyDescent="0.25">
      <c r="A53" s="109"/>
      <c r="B53" s="135" t="s">
        <v>169</v>
      </c>
      <c r="C53" s="135"/>
      <c r="D53" s="109"/>
      <c r="E53" s="110"/>
      <c r="F53" s="109"/>
      <c r="G53" s="109"/>
      <c r="H53" s="109"/>
      <c r="I53" s="109"/>
      <c r="J53" s="109"/>
      <c r="K53" s="110"/>
      <c r="L53" s="109"/>
      <c r="M53" s="110"/>
      <c r="N53" s="109"/>
      <c r="O53" s="109"/>
      <c r="P53" s="109"/>
      <c r="Q53" s="109"/>
    </row>
    <row r="54" spans="1:17" ht="6" customHeight="1" x14ac:dyDescent="0.25">
      <c r="A54" s="109"/>
      <c r="B54" s="109"/>
      <c r="C54" s="110"/>
      <c r="D54" s="109"/>
      <c r="E54" s="110"/>
      <c r="F54" s="109"/>
      <c r="G54" s="109"/>
      <c r="H54" s="109"/>
      <c r="I54" s="109"/>
      <c r="J54" s="109"/>
      <c r="K54" s="110"/>
      <c r="L54" s="109"/>
      <c r="M54" s="110"/>
      <c r="N54" s="109"/>
      <c r="O54" s="109"/>
      <c r="P54" s="109"/>
      <c r="Q54" s="109"/>
    </row>
    <row r="55" spans="1:17" ht="15" customHeight="1" x14ac:dyDescent="0.25">
      <c r="A55" s="109"/>
      <c r="B55" s="438" t="s">
        <v>150</v>
      </c>
      <c r="C55" s="438"/>
      <c r="D55" s="438"/>
      <c r="E55" s="135"/>
      <c r="F55" s="135"/>
      <c r="G55" s="135"/>
      <c r="H55" s="135"/>
      <c r="I55" s="135"/>
      <c r="J55" s="135"/>
      <c r="K55" s="135"/>
      <c r="L55" s="135"/>
      <c r="M55" s="110"/>
      <c r="N55" s="111" t="s">
        <v>151</v>
      </c>
      <c r="O55" s="112"/>
      <c r="P55" s="112"/>
      <c r="Q55" s="109"/>
    </row>
    <row r="56" spans="1:17" ht="15" customHeight="1" x14ac:dyDescent="0.25">
      <c r="A56" s="109"/>
      <c r="B56" s="113" t="s">
        <v>1673</v>
      </c>
      <c r="C56" s="219" t="s">
        <v>1686</v>
      </c>
      <c r="E56" s="109"/>
      <c r="G56" s="113"/>
      <c r="H56" s="113"/>
      <c r="I56" s="113"/>
      <c r="J56" s="113"/>
      <c r="K56" s="109"/>
      <c r="L56" s="109"/>
      <c r="M56" s="114"/>
      <c r="N56" s="235" t="str">
        <f>CONCATENATE('LR-Department Note Disclosure'!$A$14," Principal Payments")</f>
        <v>2025–2026 Principal Payments</v>
      </c>
      <c r="O56" s="112"/>
      <c r="P56" s="116" t="s">
        <v>156</v>
      </c>
      <c r="Q56" s="109"/>
    </row>
    <row r="57" spans="1:17" x14ac:dyDescent="0.25">
      <c r="A57" s="109"/>
      <c r="B57" s="118">
        <f>IF('LR-Fund #### Journal Entries'!$E$8="Proprietary - Enterprise Fund",'LR-Fund #### Journal Entries'!$J$41,0)</f>
        <v>0</v>
      </c>
      <c r="C57" s="126"/>
      <c r="E57" s="126"/>
      <c r="G57" s="152"/>
      <c r="H57" s="152"/>
      <c r="I57" s="152"/>
      <c r="J57" s="152"/>
      <c r="K57" s="126"/>
      <c r="L57" s="126"/>
      <c r="M57" s="127"/>
      <c r="N57" s="122">
        <f>ROUND('LR-Department Note Disclosure'!B76,0)</f>
        <v>0</v>
      </c>
      <c r="O57" s="128"/>
      <c r="P57" s="123">
        <f>B57-N57</f>
        <v>0</v>
      </c>
      <c r="Q57" s="109"/>
    </row>
    <row r="58" spans="1:17" ht="6" customHeight="1" x14ac:dyDescent="0.25">
      <c r="A58" s="109"/>
      <c r="B58" s="117"/>
      <c r="C58" s="124"/>
      <c r="D58" s="117"/>
      <c r="E58" s="124"/>
      <c r="F58" s="117"/>
      <c r="G58" s="117"/>
      <c r="H58" s="117"/>
      <c r="I58" s="117"/>
      <c r="J58" s="117"/>
      <c r="K58" s="124"/>
      <c r="L58" s="117"/>
      <c r="M58" s="124"/>
      <c r="N58" s="117"/>
      <c r="O58" s="117"/>
      <c r="P58" s="117"/>
      <c r="Q58" s="109"/>
    </row>
    <row r="59" spans="1:17" x14ac:dyDescent="0.25"/>
    <row r="60" spans="1:17" x14ac:dyDescent="0.25"/>
    <row r="61" spans="1:17" x14ac:dyDescent="0.25"/>
    <row r="62" spans="1:17" x14ac:dyDescent="0.25"/>
    <row r="63" spans="1:17" x14ac:dyDescent="0.25"/>
    <row r="64" spans="1:17"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sheetData>
  <sheetProtection algorithmName="SHA-512" hashValue="NONiRF1S+rPH+1PwS4WFAP8bGl+LBc+gbE2RgJAomJDsmOWAysObF1A1ru08T7GjIAzXkDzBjYqbMrb6rCSzvw==" saltValue="lxvmkKB6mEvln4JN6tseWg==" spinCount="100000" sheet="1" objects="1" scenarios="1"/>
  <mergeCells count="8">
    <mergeCell ref="B47:D47"/>
    <mergeCell ref="B55:D55"/>
    <mergeCell ref="A5:Q7"/>
    <mergeCell ref="A8:Q9"/>
    <mergeCell ref="B13:L13"/>
    <mergeCell ref="B21:L21"/>
    <mergeCell ref="B30:L30"/>
    <mergeCell ref="B40:D40"/>
  </mergeCells>
  <conditionalFormatting sqref="P16">
    <cfRule type="cellIs" dxfId="60" priority="17" operator="lessThan">
      <formula>0</formula>
    </cfRule>
    <cfRule type="cellIs" dxfId="59" priority="18" operator="greaterThan">
      <formula>0</formula>
    </cfRule>
  </conditionalFormatting>
  <conditionalFormatting sqref="P24">
    <cfRule type="cellIs" dxfId="58" priority="7" operator="lessThan">
      <formula>0</formula>
    </cfRule>
    <cfRule type="cellIs" dxfId="57" priority="8" operator="greaterThan">
      <formula>0</formula>
    </cfRule>
  </conditionalFormatting>
  <conditionalFormatting sqref="P33">
    <cfRule type="cellIs" dxfId="56" priority="15" operator="lessThan">
      <formula>0</formula>
    </cfRule>
    <cfRule type="cellIs" dxfId="55" priority="16" operator="greaterThan">
      <formula>0</formula>
    </cfRule>
  </conditionalFormatting>
  <conditionalFormatting sqref="P42">
    <cfRule type="cellIs" dxfId="54" priority="13" operator="lessThan">
      <formula>0</formula>
    </cfRule>
    <cfRule type="cellIs" dxfId="53" priority="14" operator="greaterThan">
      <formula>0</formula>
    </cfRule>
  </conditionalFormatting>
  <conditionalFormatting sqref="P49">
    <cfRule type="cellIs" dxfId="52" priority="5" operator="lessThan">
      <formula>0</formula>
    </cfRule>
    <cfRule type="cellIs" dxfId="51" priority="6" operator="greaterThan">
      <formula>0</formula>
    </cfRule>
  </conditionalFormatting>
  <conditionalFormatting sqref="P57">
    <cfRule type="cellIs" dxfId="50" priority="11" operator="lessThan">
      <formula>0</formula>
    </cfRule>
    <cfRule type="cellIs" dxfId="49" priority="12" operator="greaterThan">
      <formula>0</formula>
    </cfRule>
  </conditionalFormatting>
  <pageMargins left="0.7" right="0.7" top="0.75" bottom="0.75" header="0.3" footer="0.3"/>
  <pageSetup scale="79" fitToHeight="0" orientation="landscape" r:id="rId1"/>
  <rowBreaks count="1" manualBreakCount="1">
    <brk id="34"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C198E0"/>
  </sheetPr>
  <dimension ref="A1:F22"/>
  <sheetViews>
    <sheetView zoomScale="90" zoomScaleNormal="90" workbookViewId="0">
      <pane ySplit="11" topLeftCell="A12" activePane="bottomLeft" state="frozen"/>
      <selection activeCell="R66" sqref="R66"/>
      <selection pane="bottomLeft" sqref="A1:F2"/>
    </sheetView>
  </sheetViews>
  <sheetFormatPr defaultColWidth="8.85546875" defaultRowHeight="14.25" x14ac:dyDescent="0.25"/>
  <cols>
    <col min="1" max="1" width="18.85546875" style="222" customWidth="1"/>
    <col min="2" max="2" width="21.5703125" style="222" customWidth="1"/>
    <col min="3" max="3" width="15.5703125" style="222" customWidth="1"/>
    <col min="4" max="4" width="15.85546875" style="222" customWidth="1"/>
    <col min="5" max="5" width="64.7109375" style="222" customWidth="1"/>
    <col min="6" max="6" width="26.28515625" style="222" customWidth="1"/>
    <col min="7" max="16384" width="8.85546875" style="222"/>
  </cols>
  <sheetData>
    <row r="1" spans="1:6" x14ac:dyDescent="0.25">
      <c r="A1" s="383" t="s">
        <v>1769</v>
      </c>
      <c r="B1" s="384"/>
      <c r="C1" s="384"/>
      <c r="D1" s="384"/>
      <c r="E1" s="384"/>
      <c r="F1" s="385"/>
    </row>
    <row r="2" spans="1:6" x14ac:dyDescent="0.25">
      <c r="A2" s="386"/>
      <c r="B2" s="387"/>
      <c r="C2" s="387"/>
      <c r="D2" s="387"/>
      <c r="E2" s="387"/>
      <c r="F2" s="388"/>
    </row>
    <row r="4" spans="1:6" ht="15" x14ac:dyDescent="0.25">
      <c r="A4" s="223" t="s">
        <v>1747</v>
      </c>
      <c r="B4" s="224" t="s">
        <v>1884</v>
      </c>
    </row>
    <row r="5" spans="1:6" ht="15" x14ac:dyDescent="0.25">
      <c r="A5" s="223" t="s">
        <v>1755</v>
      </c>
      <c r="B5" s="224" t="s">
        <v>1891</v>
      </c>
    </row>
    <row r="6" spans="1:6" ht="15" x14ac:dyDescent="0.25">
      <c r="A6" s="223"/>
      <c r="B6" s="224"/>
    </row>
    <row r="7" spans="1:6" ht="15" x14ac:dyDescent="0.25">
      <c r="A7" s="223"/>
      <c r="B7" s="224"/>
    </row>
    <row r="8" spans="1:6" ht="15" x14ac:dyDescent="0.25">
      <c r="A8" s="225" t="s">
        <v>1720</v>
      </c>
      <c r="B8" s="224"/>
    </row>
    <row r="9" spans="1:6" ht="15" x14ac:dyDescent="0.25">
      <c r="B9" s="226"/>
      <c r="C9" s="224"/>
    </row>
    <row r="10" spans="1:6" ht="15" x14ac:dyDescent="0.25">
      <c r="A10" s="227" t="s">
        <v>1712</v>
      </c>
    </row>
    <row r="11" spans="1:6" ht="15" x14ac:dyDescent="0.25">
      <c r="A11" s="228" t="s">
        <v>1713</v>
      </c>
      <c r="B11" s="228" t="s">
        <v>1714</v>
      </c>
      <c r="C11" s="228" t="s">
        <v>1746</v>
      </c>
      <c r="D11" s="228" t="s">
        <v>1784</v>
      </c>
      <c r="E11" s="228" t="s">
        <v>1715</v>
      </c>
      <c r="F11" s="228" t="s">
        <v>1716</v>
      </c>
    </row>
    <row r="12" spans="1:6" ht="42.75" x14ac:dyDescent="0.25">
      <c r="A12" s="222" t="s">
        <v>1721</v>
      </c>
      <c r="B12" s="222" t="s">
        <v>1770</v>
      </c>
      <c r="C12" s="222" t="s">
        <v>1717</v>
      </c>
      <c r="D12" s="222" t="s">
        <v>1844</v>
      </c>
      <c r="E12" s="222" t="s">
        <v>1780</v>
      </c>
      <c r="F12" s="222" t="s">
        <v>1797</v>
      </c>
    </row>
    <row r="13" spans="1:6" ht="71.25" x14ac:dyDescent="0.25">
      <c r="A13" s="222" t="s">
        <v>1721</v>
      </c>
      <c r="B13" s="222" t="s">
        <v>1771</v>
      </c>
      <c r="C13" s="222" t="s">
        <v>1717</v>
      </c>
      <c r="D13" s="222" t="s">
        <v>1845</v>
      </c>
      <c r="E13" s="222" t="s">
        <v>1781</v>
      </c>
      <c r="F13" s="222" t="s">
        <v>1798</v>
      </c>
    </row>
    <row r="14" spans="1:6" ht="85.5" x14ac:dyDescent="0.25">
      <c r="A14" s="222" t="s">
        <v>1721</v>
      </c>
      <c r="B14" s="222" t="s">
        <v>1772</v>
      </c>
      <c r="C14" s="222" t="s">
        <v>1717</v>
      </c>
      <c r="D14" s="222" t="s">
        <v>1846</v>
      </c>
      <c r="E14" s="222" t="s">
        <v>1848</v>
      </c>
      <c r="F14" s="222" t="s">
        <v>1847</v>
      </c>
    </row>
    <row r="15" spans="1:6" ht="84.75" customHeight="1" x14ac:dyDescent="0.25">
      <c r="A15" s="222" t="s">
        <v>1721</v>
      </c>
      <c r="B15" s="354" t="s">
        <v>1803</v>
      </c>
      <c r="C15" s="354" t="s">
        <v>1717</v>
      </c>
      <c r="D15" s="354" t="s">
        <v>1804</v>
      </c>
      <c r="E15" s="354" t="s">
        <v>1819</v>
      </c>
      <c r="F15" s="354" t="s">
        <v>1805</v>
      </c>
    </row>
    <row r="16" spans="1:6" ht="99.75" x14ac:dyDescent="0.25">
      <c r="A16" s="222" t="s">
        <v>1721</v>
      </c>
      <c r="B16" s="354" t="s">
        <v>1803</v>
      </c>
      <c r="C16" s="354" t="s">
        <v>1717</v>
      </c>
      <c r="D16" s="354" t="s">
        <v>1806</v>
      </c>
      <c r="E16" s="354" t="s">
        <v>1808</v>
      </c>
      <c r="F16" s="354" t="s">
        <v>1807</v>
      </c>
    </row>
    <row r="17" spans="1:6" ht="69.75" customHeight="1" x14ac:dyDescent="0.25">
      <c r="A17" s="222" t="s">
        <v>1721</v>
      </c>
      <c r="B17" s="354" t="s">
        <v>1803</v>
      </c>
      <c r="C17" s="354" t="s">
        <v>1717</v>
      </c>
      <c r="D17" s="354" t="s">
        <v>1809</v>
      </c>
      <c r="E17" s="354" t="s">
        <v>1820</v>
      </c>
      <c r="F17" s="354" t="s">
        <v>1811</v>
      </c>
    </row>
    <row r="18" spans="1:6" ht="69.75" customHeight="1" x14ac:dyDescent="0.25">
      <c r="A18" s="222" t="s">
        <v>1721</v>
      </c>
      <c r="B18" s="354" t="s">
        <v>1803</v>
      </c>
      <c r="C18" s="354" t="s">
        <v>1717</v>
      </c>
      <c r="D18" s="354" t="s">
        <v>1810</v>
      </c>
      <c r="E18" s="354" t="s">
        <v>1821</v>
      </c>
      <c r="F18" s="354" t="s">
        <v>1812</v>
      </c>
    </row>
    <row r="19" spans="1:6" ht="69.75" customHeight="1" x14ac:dyDescent="0.25">
      <c r="A19" s="222" t="s">
        <v>1721</v>
      </c>
      <c r="B19" s="354" t="s">
        <v>1799</v>
      </c>
      <c r="C19" s="354" t="s">
        <v>1717</v>
      </c>
      <c r="D19" s="354" t="s">
        <v>1800</v>
      </c>
      <c r="E19" s="354" t="s">
        <v>1801</v>
      </c>
      <c r="F19" s="354" t="s">
        <v>1802</v>
      </c>
    </row>
    <row r="20" spans="1:6" ht="57" x14ac:dyDescent="0.25">
      <c r="A20" s="222" t="s">
        <v>1722</v>
      </c>
      <c r="B20" s="222" t="s">
        <v>1773</v>
      </c>
      <c r="C20" s="222" t="s">
        <v>1717</v>
      </c>
      <c r="D20" s="222" t="s">
        <v>1774</v>
      </c>
      <c r="E20" s="222" t="s">
        <v>1783</v>
      </c>
      <c r="F20" s="222" t="s">
        <v>1718</v>
      </c>
    </row>
    <row r="21" spans="1:6" ht="85.5" x14ac:dyDescent="0.25">
      <c r="A21" s="222" t="s">
        <v>1722</v>
      </c>
      <c r="B21" s="222" t="s">
        <v>1751</v>
      </c>
      <c r="C21" s="222" t="s">
        <v>1748</v>
      </c>
      <c r="D21" s="222" t="s">
        <v>1748</v>
      </c>
      <c r="E21" s="222" t="s">
        <v>1782</v>
      </c>
      <c r="F21" s="222" t="s">
        <v>1752</v>
      </c>
    </row>
    <row r="22" spans="1:6" ht="85.5" x14ac:dyDescent="0.25">
      <c r="A22" s="222" t="s">
        <v>1775</v>
      </c>
      <c r="B22" s="222" t="s">
        <v>1776</v>
      </c>
      <c r="C22" s="222" t="s">
        <v>1717</v>
      </c>
      <c r="D22" s="222" t="s">
        <v>1777</v>
      </c>
      <c r="E22" s="222" t="s">
        <v>1778</v>
      </c>
      <c r="F22" s="222" t="s">
        <v>1779</v>
      </c>
    </row>
  </sheetData>
  <sheetProtection algorithmName="SHA-512" hashValue="qTCDZoavD053vUBJGbUnhXXcvzPQXIF5pTAs6YRvOV3CA8F32sBf1FqUYo5bzdxRzzvPl5rr7k2aWqczLIBdMA==" saltValue="Rw/mDcil805VxdvCOoQA+g==" spinCount="100000" sheet="1" formatColumns="0" formatRows="0" sort="0" autoFilter="0" pivotTables="0"/>
  <autoFilter ref="A11:F11" xr:uid="{00000000-0001-0000-0B00-000000000000}"/>
  <mergeCells count="1">
    <mergeCell ref="A1:F2"/>
  </mergeCells>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198E0"/>
    <pageSetUpPr fitToPage="1"/>
  </sheetPr>
  <dimension ref="A1:AF203"/>
  <sheetViews>
    <sheetView zoomScale="70" zoomScaleNormal="70" zoomScaleSheetLayoutView="80" workbookViewId="0">
      <selection activeCell="A3" sqref="A3:E3"/>
    </sheetView>
  </sheetViews>
  <sheetFormatPr defaultColWidth="9.140625" defaultRowHeight="15" x14ac:dyDescent="0.25"/>
  <cols>
    <col min="1" max="7" width="14.28515625" style="37" customWidth="1"/>
    <col min="8" max="8" width="14.28515625" style="53" customWidth="1"/>
    <col min="9" max="9" width="19.7109375" style="37" customWidth="1"/>
    <col min="10" max="11" width="19.85546875" style="37" customWidth="1"/>
    <col min="12" max="12" width="9.140625" style="37"/>
    <col min="13" max="14" width="16" style="37" customWidth="1"/>
    <col min="15" max="15" width="4.7109375" style="37" customWidth="1"/>
    <col min="16" max="16" width="16.5703125" style="37" customWidth="1"/>
    <col min="17" max="17" width="17" style="37" customWidth="1"/>
    <col min="18" max="18" width="5.7109375" style="37" customWidth="1"/>
    <col min="19" max="19" width="20.7109375" style="37" customWidth="1"/>
    <col min="20" max="20" width="57.7109375" style="37" customWidth="1"/>
    <col min="21" max="21" width="4.7109375" style="37" customWidth="1"/>
    <col min="22" max="24" width="9.140625" style="37"/>
    <col min="25" max="26" width="19.85546875" style="37" customWidth="1"/>
    <col min="27" max="27" width="4.7109375" style="37" customWidth="1"/>
    <col min="28" max="28" width="21.140625" style="37" customWidth="1"/>
    <col min="29" max="29" width="20.7109375" style="37" customWidth="1"/>
    <col min="30" max="30" width="4.7109375" style="37" customWidth="1"/>
    <col min="31" max="31" width="22.28515625" style="37" customWidth="1"/>
    <col min="32" max="32" width="19.85546875" style="37" customWidth="1"/>
    <col min="33" max="16384" width="9.140625" style="37"/>
  </cols>
  <sheetData>
    <row r="1" spans="1:32" ht="44.45" customHeight="1" x14ac:dyDescent="0.25">
      <c r="A1" s="399" t="s">
        <v>1887</v>
      </c>
      <c r="B1" s="399"/>
      <c r="C1" s="399"/>
      <c r="D1" s="399"/>
      <c r="E1" s="399"/>
      <c r="F1" s="399"/>
      <c r="G1" s="399"/>
      <c r="H1" s="399"/>
      <c r="I1" s="399"/>
      <c r="J1" s="399"/>
      <c r="K1" s="399"/>
      <c r="L1" s="138"/>
      <c r="M1" s="138"/>
      <c r="N1" s="138"/>
      <c r="O1" s="138"/>
    </row>
    <row r="2" spans="1:32" ht="15" customHeight="1" x14ac:dyDescent="0.25">
      <c r="A2" s="442" t="s">
        <v>0</v>
      </c>
      <c r="B2" s="442"/>
      <c r="C2" s="442"/>
      <c r="D2" s="442"/>
      <c r="E2" s="442"/>
      <c r="F2" s="442"/>
      <c r="G2" s="442"/>
      <c r="H2" s="442"/>
      <c r="I2" s="442"/>
      <c r="J2" s="442"/>
      <c r="K2" s="442"/>
      <c r="L2" s="345"/>
      <c r="M2" s="345"/>
      <c r="N2" s="345"/>
      <c r="O2" s="345"/>
    </row>
    <row r="3" spans="1:32" ht="15.75" x14ac:dyDescent="0.25">
      <c r="A3" s="400" t="s">
        <v>12</v>
      </c>
      <c r="B3" s="400"/>
      <c r="C3" s="400"/>
      <c r="D3" s="400"/>
      <c r="E3" s="400"/>
      <c r="F3" s="401" t="s">
        <v>25</v>
      </c>
      <c r="G3" s="401"/>
      <c r="H3" s="401"/>
      <c r="I3" s="401"/>
    </row>
    <row r="4" spans="1:32" ht="15.75" x14ac:dyDescent="0.2">
      <c r="A4" s="400" t="s">
        <v>206</v>
      </c>
      <c r="B4" s="400"/>
      <c r="C4" s="400"/>
      <c r="D4" s="400"/>
      <c r="E4" s="400"/>
      <c r="F4" s="402"/>
      <c r="G4" s="402"/>
      <c r="H4" s="402"/>
      <c r="I4" s="402"/>
      <c r="L4" s="39"/>
      <c r="M4" s="39"/>
      <c r="N4" s="39"/>
      <c r="O4" s="39"/>
      <c r="P4" s="39"/>
      <c r="Q4" s="39"/>
    </row>
    <row r="5" spans="1:32" ht="15.75" x14ac:dyDescent="0.2">
      <c r="A5" s="400" t="s">
        <v>1636</v>
      </c>
      <c r="B5" s="400"/>
      <c r="C5" s="400"/>
      <c r="D5" s="400"/>
      <c r="E5" s="400"/>
      <c r="F5" s="402"/>
      <c r="G5" s="402"/>
      <c r="H5" s="402"/>
      <c r="I5" s="402"/>
      <c r="L5" s="40"/>
      <c r="M5" s="40"/>
      <c r="N5" s="40"/>
      <c r="O5" s="40"/>
      <c r="P5" s="39"/>
      <c r="Q5" s="39"/>
    </row>
    <row r="6" spans="1:32" ht="18" x14ac:dyDescent="0.25">
      <c r="A6" s="400" t="s">
        <v>2</v>
      </c>
      <c r="B6" s="400"/>
      <c r="C6" s="400"/>
      <c r="D6" s="400"/>
      <c r="E6" s="400"/>
      <c r="F6" s="403"/>
      <c r="G6" s="403"/>
      <c r="H6" s="403"/>
      <c r="I6" s="403"/>
      <c r="K6" s="85"/>
      <c r="L6" s="40"/>
      <c r="M6" s="40"/>
      <c r="N6" s="40"/>
      <c r="O6" s="40"/>
      <c r="P6" s="39"/>
      <c r="Q6" s="39"/>
    </row>
    <row r="7" spans="1:32" ht="18" x14ac:dyDescent="0.25">
      <c r="A7" s="400" t="s">
        <v>3</v>
      </c>
      <c r="B7" s="400"/>
      <c r="C7" s="400"/>
      <c r="D7" s="400"/>
      <c r="E7" s="400"/>
      <c r="F7" s="403"/>
      <c r="G7" s="403"/>
      <c r="H7" s="403"/>
      <c r="I7" s="403"/>
      <c r="K7" s="85"/>
      <c r="L7" s="40"/>
      <c r="M7" s="40"/>
      <c r="N7" s="40"/>
      <c r="O7" s="40"/>
      <c r="P7" s="39"/>
      <c r="Q7" s="39"/>
    </row>
    <row r="8" spans="1:32" ht="18" x14ac:dyDescent="0.25">
      <c r="A8" s="400" t="s">
        <v>1637</v>
      </c>
      <c r="B8" s="400"/>
      <c r="C8" s="400"/>
      <c r="D8" s="400"/>
      <c r="E8" s="400"/>
      <c r="F8" s="403"/>
      <c r="G8" s="403"/>
      <c r="H8" s="403"/>
      <c r="I8" s="403"/>
      <c r="K8" s="85"/>
      <c r="L8" s="40"/>
      <c r="M8" s="40"/>
      <c r="N8" s="40"/>
      <c r="O8" s="40"/>
      <c r="P8" s="39"/>
      <c r="Q8" s="39"/>
    </row>
    <row r="9" spans="1:32" ht="16.5" thickBot="1" x14ac:dyDescent="0.3">
      <c r="A9" s="400" t="s">
        <v>1635</v>
      </c>
      <c r="B9" s="400"/>
      <c r="C9" s="400"/>
      <c r="D9" s="400"/>
      <c r="E9" s="400"/>
      <c r="F9" s="404" t="str">
        <f>IFERROR(IF(F7="Proprietary","Proprietary Fund",VLOOKUP(F5,qryIndex02a!$A$2:$K$654,4,FALSE)),"Unidentified")</f>
        <v>Unidentified</v>
      </c>
      <c r="G9" s="404"/>
      <c r="H9" s="404"/>
      <c r="I9" s="404"/>
      <c r="J9" s="21"/>
      <c r="K9" s="39"/>
      <c r="L9" s="39"/>
      <c r="M9" s="39"/>
      <c r="N9" s="39"/>
      <c r="O9" s="39"/>
      <c r="P9" s="39"/>
      <c r="Q9" s="39"/>
    </row>
    <row r="10" spans="1:32" ht="17.45" customHeight="1" x14ac:dyDescent="0.2">
      <c r="A10" s="38"/>
      <c r="B10" s="38"/>
      <c r="C10" s="38"/>
      <c r="D10" s="38"/>
      <c r="E10" s="38"/>
      <c r="F10" s="39"/>
      <c r="G10" s="39"/>
      <c r="H10" s="41"/>
      <c r="I10" s="39"/>
      <c r="J10" s="39"/>
      <c r="K10" s="39"/>
      <c r="L10" s="39"/>
      <c r="M10" s="39"/>
      <c r="N10" s="39"/>
      <c r="O10" s="39"/>
      <c r="P10" s="39"/>
      <c r="Q10" s="39"/>
      <c r="V10" s="407" t="s">
        <v>1785</v>
      </c>
      <c r="W10" s="408"/>
      <c r="X10" s="408"/>
      <c r="Y10" s="408"/>
      <c r="Z10" s="408"/>
      <c r="AA10" s="256"/>
      <c r="AB10" s="237"/>
      <c r="AC10" s="238"/>
      <c r="AD10" s="237"/>
      <c r="AE10" s="239"/>
      <c r="AF10" s="240"/>
    </row>
    <row r="11" spans="1:32" ht="17.45" customHeight="1" x14ac:dyDescent="0.2">
      <c r="A11" s="38"/>
      <c r="B11" s="38"/>
      <c r="C11" s="38"/>
      <c r="D11" s="38"/>
      <c r="E11" s="40"/>
      <c r="F11" s="39"/>
      <c r="G11" s="39"/>
      <c r="H11" s="41"/>
      <c r="I11" s="39"/>
      <c r="J11" s="39"/>
      <c r="K11" s="39"/>
      <c r="L11" s="39"/>
      <c r="M11" s="39"/>
      <c r="N11" s="39"/>
      <c r="O11" s="39"/>
      <c r="P11" s="39"/>
      <c r="Q11" s="39"/>
      <c r="V11" s="409"/>
      <c r="W11" s="410"/>
      <c r="X11" s="410"/>
      <c r="Y11" s="410"/>
      <c r="Z11" s="410"/>
      <c r="AA11" s="281"/>
      <c r="AB11" s="282"/>
      <c r="AC11" s="283"/>
      <c r="AD11" s="282"/>
      <c r="AE11" s="241"/>
      <c r="AF11" s="242"/>
    </row>
    <row r="12" spans="1:32" s="163" customFormat="1" ht="21" customHeight="1" x14ac:dyDescent="0.3">
      <c r="A12" s="157" t="s">
        <v>1725</v>
      </c>
      <c r="B12" s="158"/>
      <c r="C12" s="159"/>
      <c r="D12" s="159"/>
      <c r="E12" s="159"/>
      <c r="F12" s="160"/>
      <c r="G12" s="160"/>
      <c r="H12" s="161"/>
      <c r="I12" s="161"/>
      <c r="J12" s="160"/>
      <c r="K12" s="160"/>
      <c r="L12" s="39"/>
      <c r="M12" s="39"/>
      <c r="N12" s="162"/>
      <c r="O12" s="162"/>
      <c r="P12" s="162"/>
      <c r="V12" s="305"/>
      <c r="W12" s="306" t="s">
        <v>1786</v>
      </c>
      <c r="X12" s="307"/>
      <c r="Y12" s="307"/>
      <c r="Z12" s="308"/>
      <c r="AA12" s="308"/>
      <c r="AB12" s="308"/>
      <c r="AC12" s="308"/>
      <c r="AD12" s="308"/>
      <c r="AE12" s="308"/>
      <c r="AF12" s="309"/>
    </row>
    <row r="13" spans="1:32" s="173" customFormat="1" ht="16.5" customHeight="1" x14ac:dyDescent="0.3">
      <c r="A13" s="346" t="s">
        <v>4</v>
      </c>
      <c r="B13" s="189"/>
      <c r="C13" s="176"/>
      <c r="D13" s="176"/>
      <c r="E13" s="176"/>
      <c r="F13" s="177"/>
      <c r="G13" s="177"/>
      <c r="H13" s="167"/>
      <c r="I13" s="167"/>
      <c r="J13" s="172"/>
      <c r="K13" s="172"/>
      <c r="V13" s="243" t="str">
        <f>A13</f>
        <v>Entry #</v>
      </c>
      <c r="W13" s="284"/>
      <c r="X13" s="284"/>
      <c r="Y13" s="285"/>
      <c r="Z13" s="286"/>
      <c r="AA13" s="266"/>
      <c r="AB13" s="266"/>
      <c r="AC13" s="266"/>
      <c r="AD13" s="266"/>
      <c r="AE13" s="287" t="s">
        <v>1787</v>
      </c>
      <c r="AF13" s="244" t="s">
        <v>1788</v>
      </c>
    </row>
    <row r="14" spans="1:32" s="173" customFormat="1" ht="16.5" customHeight="1" x14ac:dyDescent="0.3">
      <c r="A14" s="169">
        <v>0</v>
      </c>
      <c r="B14" s="199" t="s">
        <v>1727</v>
      </c>
      <c r="C14" s="176"/>
      <c r="D14" s="176"/>
      <c r="E14" s="176"/>
      <c r="F14" s="177"/>
      <c r="G14" s="177"/>
      <c r="H14" s="167"/>
      <c r="I14" s="167"/>
      <c r="J14" s="172"/>
      <c r="K14" s="172"/>
      <c r="M14" s="391" t="s">
        <v>1662</v>
      </c>
      <c r="N14" s="392"/>
      <c r="P14" s="391" t="s">
        <v>1659</v>
      </c>
      <c r="Q14" s="392"/>
      <c r="S14" s="204" t="s">
        <v>1660</v>
      </c>
      <c r="V14" s="245">
        <f>A14</f>
        <v>0</v>
      </c>
      <c r="W14" s="284"/>
      <c r="X14" s="284"/>
      <c r="Y14" s="405" t="str">
        <f>M14</f>
        <v>Combined FP Templates</v>
      </c>
      <c r="Z14" s="406"/>
      <c r="AA14" s="266"/>
      <c r="AB14" s="405" t="str">
        <f>P14</f>
        <v>From SCO BB List</v>
      </c>
      <c r="AC14" s="406"/>
      <c r="AD14" s="266"/>
      <c r="AE14" s="405" t="s">
        <v>1789</v>
      </c>
      <c r="AF14" s="406"/>
    </row>
    <row r="15" spans="1:32" ht="16.5" customHeight="1" x14ac:dyDescent="0.25">
      <c r="B15" s="26" t="s">
        <v>191</v>
      </c>
      <c r="C15" s="178"/>
      <c r="D15" s="178"/>
      <c r="E15" s="178"/>
      <c r="F15" s="179"/>
      <c r="G15" s="179"/>
      <c r="H15" s="180"/>
      <c r="I15" s="180"/>
      <c r="J15" s="229">
        <f>M15</f>
        <v>0</v>
      </c>
      <c r="M15" s="181"/>
      <c r="P15" s="181"/>
      <c r="Q15" s="236"/>
      <c r="S15" s="205">
        <f>P15-M15</f>
        <v>0</v>
      </c>
      <c r="T15" s="232" t="s">
        <v>1743</v>
      </c>
      <c r="V15" s="246"/>
      <c r="W15" s="398" t="str">
        <f>LEFT(B15,13)</f>
        <v>Dr: Acct 0446</v>
      </c>
      <c r="X15" s="398"/>
      <c r="Y15" s="263">
        <f>ROUND($J$15,-3)</f>
        <v>0</v>
      </c>
      <c r="Z15" s="247"/>
      <c r="AA15" s="266"/>
      <c r="AB15" s="263">
        <f>ROUND($P$15,-3)</f>
        <v>0</v>
      </c>
      <c r="AC15" s="266"/>
      <c r="AD15" s="266"/>
      <c r="AE15" s="288" t="str">
        <f t="shared" ref="AE15:AE20" si="0">IF(Y15&gt;AB15,Y15-AB15,"")</f>
        <v/>
      </c>
      <c r="AF15" s="248" t="str">
        <f t="shared" ref="AF15:AF20" si="1">IF(Y15&lt;AB15,-(Y15-AB15),"")</f>
        <v/>
      </c>
    </row>
    <row r="16" spans="1:32" ht="16.5" customHeight="1" x14ac:dyDescent="0.25">
      <c r="A16" s="88"/>
      <c r="B16" s="26" t="s">
        <v>192</v>
      </c>
      <c r="C16" s="178"/>
      <c r="D16" s="178"/>
      <c r="E16" s="178"/>
      <c r="F16" s="179"/>
      <c r="G16" s="179"/>
      <c r="H16" s="180"/>
      <c r="I16" s="180"/>
      <c r="J16" s="229">
        <f>M16</f>
        <v>0</v>
      </c>
      <c r="M16" s="181"/>
      <c r="P16" s="181"/>
      <c r="Q16" s="236"/>
      <c r="S16" s="205">
        <f>P16-M16</f>
        <v>0</v>
      </c>
      <c r="T16" s="232" t="s">
        <v>1743</v>
      </c>
      <c r="V16" s="249"/>
      <c r="W16" s="398" t="str">
        <f>LEFT(B16,13)</f>
        <v>Dr: Acct 0448</v>
      </c>
      <c r="X16" s="398"/>
      <c r="Y16" s="263">
        <f>ROUND($J$16,-3)</f>
        <v>0</v>
      </c>
      <c r="Z16" s="247"/>
      <c r="AA16" s="266"/>
      <c r="AB16" s="263">
        <f>ROUND($P$16,-3)</f>
        <v>0</v>
      </c>
      <c r="AC16" s="266"/>
      <c r="AD16" s="266"/>
      <c r="AE16" s="288" t="str">
        <f t="shared" si="0"/>
        <v/>
      </c>
      <c r="AF16" s="248" t="str">
        <f t="shared" si="1"/>
        <v/>
      </c>
    </row>
    <row r="17" spans="1:32" ht="16.5" customHeight="1" x14ac:dyDescent="0.25">
      <c r="A17" s="88"/>
      <c r="B17" s="26" t="s">
        <v>193</v>
      </c>
      <c r="C17" s="178"/>
      <c r="D17" s="178"/>
      <c r="E17" s="178"/>
      <c r="F17" s="179"/>
      <c r="G17" s="179"/>
      <c r="H17" s="180"/>
      <c r="I17" s="180"/>
      <c r="J17" s="229">
        <f>M17</f>
        <v>0</v>
      </c>
      <c r="M17" s="181"/>
      <c r="P17" s="181"/>
      <c r="Q17" s="236"/>
      <c r="S17" s="205">
        <f>P17-M17</f>
        <v>0</v>
      </c>
      <c r="T17" s="232" t="s">
        <v>1743</v>
      </c>
      <c r="V17" s="249"/>
      <c r="W17" s="398" t="str">
        <f>LEFT(B17,13)</f>
        <v>Dr: Acct 0450</v>
      </c>
      <c r="X17" s="398"/>
      <c r="Y17" s="263">
        <f>ROUND($J$17,-3)</f>
        <v>0</v>
      </c>
      <c r="Z17" s="247"/>
      <c r="AA17" s="266"/>
      <c r="AB17" s="263">
        <f>ROUND($P$17,-3)</f>
        <v>0</v>
      </c>
      <c r="AC17" s="266"/>
      <c r="AD17" s="266"/>
      <c r="AE17" s="288" t="str">
        <f t="shared" si="0"/>
        <v/>
      </c>
      <c r="AF17" s="248" t="str">
        <f t="shared" si="1"/>
        <v/>
      </c>
    </row>
    <row r="18" spans="1:32" ht="16.5" customHeight="1" x14ac:dyDescent="0.25">
      <c r="A18" s="88"/>
      <c r="B18" s="26" t="s">
        <v>176</v>
      </c>
      <c r="C18" s="178"/>
      <c r="D18" s="178"/>
      <c r="E18" s="178"/>
      <c r="F18" s="179"/>
      <c r="G18" s="179"/>
      <c r="H18" s="180"/>
      <c r="I18" s="180"/>
      <c r="J18" s="229">
        <f>P18</f>
        <v>0</v>
      </c>
      <c r="M18" s="181"/>
      <c r="P18" s="230">
        <f>IF(SUM($Q$21:$Q$23)&gt;SUM($P$15:$P$17),SUM($Q$21:$Q$23)-SUM($P$15:$P$17),0)</f>
        <v>0</v>
      </c>
      <c r="Q18" s="236"/>
      <c r="S18" s="205">
        <f>P18-M18</f>
        <v>0</v>
      </c>
      <c r="T18" s="231" t="s">
        <v>1718</v>
      </c>
      <c r="V18" s="249"/>
      <c r="W18" s="398" t="str">
        <f>LEFT(B18,13)</f>
        <v>Dr: Acct 0950</v>
      </c>
      <c r="X18" s="398"/>
      <c r="Y18" s="250">
        <f>ROUND($AB$18,-3)</f>
        <v>0</v>
      </c>
      <c r="Z18" s="247"/>
      <c r="AA18" s="289"/>
      <c r="AB18" s="250">
        <f>IF(SUM($AC$21:$AC$23)&gt;SUM($AB$15:$AB$17),SUM($AC$21:$AC$23)-SUM($AB$15:$AB$17),0)</f>
        <v>0</v>
      </c>
      <c r="AC18" s="266"/>
      <c r="AD18" s="266"/>
      <c r="AE18" s="288" t="str">
        <f t="shared" si="0"/>
        <v/>
      </c>
      <c r="AF18" s="248" t="str">
        <f t="shared" si="1"/>
        <v/>
      </c>
    </row>
    <row r="19" spans="1:32" ht="16.5" customHeight="1" x14ac:dyDescent="0.25">
      <c r="A19" s="88"/>
      <c r="B19" s="26" t="s">
        <v>177</v>
      </c>
      <c r="C19" s="178"/>
      <c r="D19" s="178"/>
      <c r="E19" s="178"/>
      <c r="F19" s="179"/>
      <c r="G19" s="179"/>
      <c r="H19" s="180"/>
      <c r="I19" s="180"/>
      <c r="J19" s="229">
        <f>IF(SUM($K$21:$K$24)&gt;SUM($J$15:$J$18),SUM($K$21:$K$24)-SUM($J$15:$J$18),0)</f>
        <v>0</v>
      </c>
      <c r="M19" s="181"/>
      <c r="P19" s="236"/>
      <c r="Q19" s="236"/>
      <c r="S19" s="205">
        <f>P19-M19</f>
        <v>0</v>
      </c>
      <c r="T19" s="231" t="s">
        <v>1718</v>
      </c>
      <c r="V19" s="249"/>
      <c r="W19" s="398" t="str">
        <f>LEFT(B19,13)</f>
        <v>Dr: Acct 0952</v>
      </c>
      <c r="X19" s="398"/>
      <c r="Y19" s="250">
        <f>IF(SUM($Z$21:$Z$24)&gt;SUM($Y$15:$Y$18),SUM($Z$21:$Z$24)-SUM($Y$15:$Y$18),0)</f>
        <v>0</v>
      </c>
      <c r="Z19" s="247"/>
      <c r="AA19" s="266"/>
      <c r="AB19"/>
      <c r="AC19" s="266"/>
      <c r="AD19" s="266"/>
      <c r="AE19" s="288" t="str">
        <f t="shared" si="0"/>
        <v/>
      </c>
      <c r="AF19" s="248" t="str">
        <f t="shared" si="1"/>
        <v/>
      </c>
    </row>
    <row r="20" spans="1:32" ht="16.5" customHeight="1" x14ac:dyDescent="0.25">
      <c r="A20" s="88"/>
      <c r="B20" s="347"/>
      <c r="C20" s="26" t="s">
        <v>189</v>
      </c>
      <c r="D20" s="178"/>
      <c r="E20" s="178"/>
      <c r="F20" s="201"/>
      <c r="G20" s="201"/>
      <c r="H20" s="180"/>
      <c r="I20" s="180"/>
      <c r="J20" s="197"/>
      <c r="K20" s="183"/>
      <c r="P20" s="236"/>
      <c r="Q20" s="236"/>
      <c r="V20" s="249"/>
      <c r="W20" s="290"/>
      <c r="X20" s="320" t="str">
        <f>C20</f>
        <v>Land is not depreciable</v>
      </c>
      <c r="Y20" s="266"/>
      <c r="Z20" s="247"/>
      <c r="AA20" s="266"/>
      <c r="AB20" s="266"/>
      <c r="AC20" s="266"/>
      <c r="AD20" s="266"/>
      <c r="AE20" s="288" t="str">
        <f t="shared" si="0"/>
        <v/>
      </c>
      <c r="AF20" s="248" t="str">
        <f t="shared" si="1"/>
        <v/>
      </c>
    </row>
    <row r="21" spans="1:32" ht="16.5" customHeight="1" x14ac:dyDescent="0.25">
      <c r="A21" s="88"/>
      <c r="B21" s="347"/>
      <c r="C21" s="26" t="s">
        <v>190</v>
      </c>
      <c r="D21" s="178"/>
      <c r="E21" s="178"/>
      <c r="F21" s="201"/>
      <c r="G21" s="201"/>
      <c r="H21" s="180"/>
      <c r="I21" s="180"/>
      <c r="J21" s="197"/>
      <c r="K21" s="229">
        <f>N21</f>
        <v>0</v>
      </c>
      <c r="N21" s="181"/>
      <c r="P21" s="236"/>
      <c r="Q21" s="181"/>
      <c r="S21" s="205">
        <f>Q21-N21</f>
        <v>0</v>
      </c>
      <c r="T21" s="231" t="s">
        <v>1718</v>
      </c>
      <c r="V21" s="249"/>
      <c r="W21" s="290"/>
      <c r="X21" s="265" t="str">
        <f>LEFT(C21,13)</f>
        <v>Cr: Acct 0462</v>
      </c>
      <c r="Y21" s="251"/>
      <c r="Z21" s="263">
        <f>ROUND($K$21,-3)</f>
        <v>0</v>
      </c>
      <c r="AA21" s="319"/>
      <c r="AB21" s="319"/>
      <c r="AC21" s="263">
        <f>ROUND($Q$21,-3)</f>
        <v>0</v>
      </c>
      <c r="AD21" s="266"/>
      <c r="AE21" s="288" t="str">
        <f>IF(Z21&lt;AC21,-(Z21-AC21),"")</f>
        <v/>
      </c>
      <c r="AF21" s="248" t="str">
        <f>IF(Z21&gt;AC21,(Z21-AC21),"")</f>
        <v/>
      </c>
    </row>
    <row r="22" spans="1:32" ht="16.5" customHeight="1" x14ac:dyDescent="0.25">
      <c r="A22" s="88"/>
      <c r="B22" s="347"/>
      <c r="C22" s="26" t="s">
        <v>187</v>
      </c>
      <c r="D22" s="178"/>
      <c r="E22" s="178"/>
      <c r="F22" s="201"/>
      <c r="G22" s="201"/>
      <c r="H22" s="180"/>
      <c r="I22" s="180"/>
      <c r="J22" s="197"/>
      <c r="K22" s="229">
        <f>N22</f>
        <v>0</v>
      </c>
      <c r="N22" s="181"/>
      <c r="P22" s="236"/>
      <c r="Q22" s="181"/>
      <c r="S22" s="205">
        <f>Q22-N22</f>
        <v>0</v>
      </c>
      <c r="T22" s="231" t="s">
        <v>1718</v>
      </c>
      <c r="V22" s="249"/>
      <c r="W22" s="290"/>
      <c r="X22" s="265" t="str">
        <f>LEFT(C22,13)</f>
        <v>Cr: Acct 0458</v>
      </c>
      <c r="Z22" s="263">
        <f>ROUND($K$22,-3)</f>
        <v>0</v>
      </c>
      <c r="AC22" s="263">
        <f>ROUND($Q$22,-3)</f>
        <v>0</v>
      </c>
      <c r="AE22" s="288" t="str">
        <f>IF(Z22&lt;AC22,-(Z22-AC22),"")</f>
        <v/>
      </c>
      <c r="AF22" s="248" t="str">
        <f>IF(Z22&gt;AC22,(Z22-AC22),"")</f>
        <v/>
      </c>
    </row>
    <row r="23" spans="1:32" ht="16.5" customHeight="1" x14ac:dyDescent="0.25">
      <c r="A23" s="88"/>
      <c r="B23" s="347"/>
      <c r="C23" s="26" t="s">
        <v>188</v>
      </c>
      <c r="D23" s="178"/>
      <c r="E23" s="178"/>
      <c r="F23" s="201"/>
      <c r="G23" s="201"/>
      <c r="H23" s="180"/>
      <c r="I23" s="180"/>
      <c r="J23" s="197"/>
      <c r="K23" s="229">
        <f>N23</f>
        <v>0</v>
      </c>
      <c r="N23" s="181"/>
      <c r="P23" s="236"/>
      <c r="Q23" s="181"/>
      <c r="S23" s="205">
        <f>Q23-N23</f>
        <v>0</v>
      </c>
      <c r="T23" s="231" t="s">
        <v>1718</v>
      </c>
      <c r="V23" s="249"/>
      <c r="W23" s="290"/>
      <c r="X23" s="265" t="str">
        <f>LEFT(C23,13)</f>
        <v>Cr: Acct 0695</v>
      </c>
      <c r="Z23" s="263">
        <f>ROUND($K$23,-3)</f>
        <v>0</v>
      </c>
      <c r="AC23" s="263">
        <f>ROUND($Q$23,-3)</f>
        <v>0</v>
      </c>
      <c r="AE23" s="288" t="str">
        <f>IF(Z23&lt;AC23,-(Z23-AC23),"")</f>
        <v/>
      </c>
      <c r="AF23" s="248" t="str">
        <f>IF(Z23&gt;AC23,(Z23-AC23),"")</f>
        <v/>
      </c>
    </row>
    <row r="24" spans="1:32" ht="16.5" customHeight="1" x14ac:dyDescent="0.25">
      <c r="A24" s="88"/>
      <c r="B24" s="347"/>
      <c r="C24" s="26" t="s">
        <v>183</v>
      </c>
      <c r="D24" s="178"/>
      <c r="E24" s="178"/>
      <c r="F24" s="201"/>
      <c r="G24" s="201"/>
      <c r="H24" s="180"/>
      <c r="I24" s="180"/>
      <c r="J24" s="197"/>
      <c r="K24" s="229">
        <f>Q24</f>
        <v>0</v>
      </c>
      <c r="N24" s="181"/>
      <c r="P24" s="236"/>
      <c r="Q24" s="230">
        <f>IF(SUM($Q$21:$Q$23)&lt;SUM($P$15:$P$17),-SUM($Q$21:$Q$23)+SUM($P$15:$P$17),0)</f>
        <v>0</v>
      </c>
      <c r="S24" s="205">
        <f>Q24-N24</f>
        <v>0</v>
      </c>
      <c r="T24" s="231" t="s">
        <v>1718</v>
      </c>
      <c r="V24" s="249"/>
      <c r="W24" s="290"/>
      <c r="X24" s="265" t="str">
        <f>LEFT(C24,13)</f>
        <v>Cr: Acct 0950</v>
      </c>
      <c r="Y24" s="274"/>
      <c r="Z24" s="250">
        <f>ROUND($AC$24,-3)</f>
        <v>0</v>
      </c>
      <c r="AA24" s="274"/>
      <c r="AB24" s="274"/>
      <c r="AC24" s="300">
        <f>IF(SUM($AC$21:$AC$23)&lt;SUM($AB$15:$AB$17),-SUM($AC$21:$AC$23)+SUM($AB$15:$AB$17),0)</f>
        <v>0</v>
      </c>
      <c r="AD24" s="274"/>
      <c r="AE24" s="288" t="str">
        <f>IF(Z24&lt;AC24,-(Z24-AC24),"")</f>
        <v/>
      </c>
      <c r="AF24" s="248" t="str">
        <f>IF(Z24&gt;AC24,(Z24-AC24),"")</f>
        <v/>
      </c>
    </row>
    <row r="25" spans="1:32" ht="16.5" customHeight="1" x14ac:dyDescent="0.25">
      <c r="A25" s="88"/>
      <c r="B25" s="347"/>
      <c r="C25" s="26" t="s">
        <v>184</v>
      </c>
      <c r="D25" s="178"/>
      <c r="E25" s="178"/>
      <c r="F25" s="201"/>
      <c r="G25" s="201"/>
      <c r="H25" s="180"/>
      <c r="I25" s="180"/>
      <c r="J25" s="197"/>
      <c r="K25" s="229">
        <f>IF(SUM($K$21:$K$24)&lt;SUM($J$15:$J$18),-SUM($K$21:$K$24)+SUM($J$15:$J$18),0)</f>
        <v>0</v>
      </c>
      <c r="N25" s="181"/>
      <c r="P25" s="236"/>
      <c r="Q25" s="236"/>
      <c r="S25" s="205">
        <f>Q25-N25</f>
        <v>0</v>
      </c>
      <c r="T25" s="231" t="s">
        <v>1718</v>
      </c>
      <c r="V25" s="249"/>
      <c r="W25" s="290"/>
      <c r="X25" s="265" t="str">
        <f>LEFT(C25,13)</f>
        <v>Cr: Acct 0952</v>
      </c>
      <c r="Y25" s="274"/>
      <c r="Z25" s="300">
        <f>IF(SUM($Z$21:$Z$24)&lt;SUM($Y$15:$Y$18),-SUM($Z$21:$Z$24)+SUM($Y$15:$Y$18),0)</f>
        <v>0</v>
      </c>
      <c r="AA25" s="266"/>
      <c r="AB25" s="266"/>
      <c r="AC25"/>
      <c r="AD25" s="266"/>
      <c r="AE25" s="379" t="str">
        <f>IF(Z25&lt;AC25,-(Z25-AC25),"")</f>
        <v/>
      </c>
      <c r="AF25" s="248" t="str">
        <f>IF(Z25&gt;AC25,(Z25-AC25),"")</f>
        <v/>
      </c>
    </row>
    <row r="26" spans="1:32" ht="16.5" customHeight="1" x14ac:dyDescent="0.25">
      <c r="A26" s="88"/>
      <c r="C26" s="47"/>
      <c r="D26" s="47"/>
      <c r="E26" s="47"/>
      <c r="F26" s="48"/>
      <c r="G26" s="48"/>
      <c r="H26" s="49"/>
      <c r="I26" s="49"/>
      <c r="J26" s="142">
        <f>SUM(J15:J25)</f>
        <v>0</v>
      </c>
      <c r="K26" s="142">
        <f>SUM(K15:K25)</f>
        <v>0</v>
      </c>
      <c r="L26" s="52" t="str">
        <f>IF(J26=K26,"&lt;- Debits and Credits equal each other.","&lt;- Debits and Credits do not equal each other.")</f>
        <v>&lt;- Debits and Credits equal each other.</v>
      </c>
      <c r="V26" s="249"/>
      <c r="W26" s="290"/>
      <c r="Y26" s="317">
        <f>ROUND(SUM(Y15:Y19),0)</f>
        <v>0</v>
      </c>
      <c r="Z26" s="317">
        <f>ROUND(SUM(Z21:Z25),0)</f>
        <v>0</v>
      </c>
      <c r="AA26" s="394" t="str">
        <f>IF(Y26=Z26,"&lt;- Debits and Credits equal each other.","&lt;- Debits and Credits do not equal each other.")</f>
        <v>&lt;- Debits and Credits equal each other.</v>
      </c>
      <c r="AB26" s="394"/>
      <c r="AC26" s="394"/>
      <c r="AD26" s="266"/>
      <c r="AE26" s="317">
        <f>ROUND(SUM(AE15:AE25),0)</f>
        <v>0</v>
      </c>
      <c r="AF26" s="318">
        <f>ROUND(SUM(AF15:AF25),0)</f>
        <v>0</v>
      </c>
    </row>
    <row r="27" spans="1:32" ht="16.5" customHeight="1" x14ac:dyDescent="0.25">
      <c r="A27" s="1"/>
      <c r="B27" s="26"/>
      <c r="C27" s="50"/>
      <c r="D27" s="47"/>
      <c r="E27" s="47"/>
      <c r="F27" s="48"/>
      <c r="G27" s="48"/>
      <c r="H27" s="49"/>
      <c r="I27" s="49"/>
      <c r="J27" s="142"/>
      <c r="K27" s="142"/>
      <c r="L27" s="21"/>
      <c r="V27" s="249"/>
      <c r="W27" s="290"/>
      <c r="Y27" s="274"/>
      <c r="AF27" s="248">
        <f>AE26-AF26</f>
        <v>0</v>
      </c>
    </row>
    <row r="28" spans="1:32" ht="16.5" customHeight="1" x14ac:dyDescent="0.25">
      <c r="A28" s="1"/>
      <c r="B28" s="26"/>
      <c r="C28" s="50"/>
      <c r="D28" s="47"/>
      <c r="E28" s="47"/>
      <c r="F28" s="48"/>
      <c r="G28" s="48"/>
      <c r="H28" s="49"/>
      <c r="I28" s="49"/>
      <c r="J28" s="46"/>
      <c r="K28" s="46"/>
      <c r="L28" s="21"/>
      <c r="V28" s="249"/>
      <c r="Y28" s="274"/>
      <c r="AF28" s="261"/>
    </row>
    <row r="29" spans="1:32" s="163" customFormat="1" ht="21" customHeight="1" x14ac:dyDescent="0.3">
      <c r="A29" s="157" t="s">
        <v>1728</v>
      </c>
      <c r="B29" s="158"/>
      <c r="C29" s="159"/>
      <c r="D29" s="159"/>
      <c r="E29" s="159"/>
      <c r="F29" s="160"/>
      <c r="G29" s="160"/>
      <c r="H29" s="161"/>
      <c r="I29" s="161"/>
      <c r="J29" s="160"/>
      <c r="K29" s="160"/>
      <c r="L29" s="39"/>
      <c r="M29" s="39"/>
      <c r="N29" s="162"/>
      <c r="O29" s="162"/>
      <c r="P29" s="162"/>
      <c r="V29" s="325" t="str">
        <f>A29</f>
        <v>Record New Financed Purchases (new financed purchases only)</v>
      </c>
      <c r="Y29" s="274"/>
      <c r="AF29" s="348"/>
    </row>
    <row r="30" spans="1:32" s="173" customFormat="1" ht="16.5" customHeight="1" x14ac:dyDescent="0.3">
      <c r="A30" s="169">
        <v>1</v>
      </c>
      <c r="B30" s="199" t="s">
        <v>1729</v>
      </c>
      <c r="C30" s="176"/>
      <c r="D30" s="176"/>
      <c r="E30" s="176"/>
      <c r="F30" s="177"/>
      <c r="G30" s="177"/>
      <c r="H30" s="167"/>
      <c r="I30" s="167"/>
      <c r="J30" s="172"/>
      <c r="K30" s="172"/>
      <c r="V30" s="245">
        <f>A30</f>
        <v>1</v>
      </c>
      <c r="W30" s="273" t="str">
        <f>B30</f>
        <v>Record financed purchase contract commencement (fund-based entries only)</v>
      </c>
      <c r="X30" s="274"/>
      <c r="Y30" s="274"/>
      <c r="Z30" s="274"/>
      <c r="AA30" s="274"/>
      <c r="AB30" s="274"/>
      <c r="AC30" s="274"/>
      <c r="AD30" s="274"/>
      <c r="AE30" s="274"/>
      <c r="AF30" s="277"/>
    </row>
    <row r="31" spans="1:32" ht="16.5" customHeight="1" x14ac:dyDescent="0.25">
      <c r="B31" s="26" t="s">
        <v>194</v>
      </c>
      <c r="C31" s="178"/>
      <c r="D31" s="178"/>
      <c r="E31" s="178"/>
      <c r="F31" s="179"/>
      <c r="G31" s="179"/>
      <c r="H31" s="180"/>
      <c r="I31" s="180"/>
      <c r="J31" s="181"/>
      <c r="K31" s="202"/>
      <c r="V31" s="90"/>
      <c r="W31" s="398" t="str">
        <f>LEFT(B31,13)</f>
        <v>Dr: Acct 0842</v>
      </c>
      <c r="X31" s="398"/>
      <c r="Y31" s="263">
        <f>IF(ROUND($K$40,-3)=ROUND($J$37,-3)+ROUND($J$38,-3)+ROUND($J$39,-3),ROUND($J$31,-3),SUM(ROUND($J$37,-3),ROUND($J$38,-3),ROUND($J$39,-3)))</f>
        <v>0</v>
      </c>
      <c r="Z31" s="247"/>
      <c r="AA31" s="411" t="s">
        <v>231</v>
      </c>
      <c r="AB31" s="411"/>
      <c r="AC31" s="411"/>
      <c r="AD31" s="266"/>
      <c r="AE31" s="266"/>
      <c r="AF31" s="261"/>
    </row>
    <row r="32" spans="1:32" ht="16.5" customHeight="1" x14ac:dyDescent="0.25">
      <c r="A32" s="88"/>
      <c r="B32" s="178"/>
      <c r="C32" s="26" t="s">
        <v>1731</v>
      </c>
      <c r="D32" s="178"/>
      <c r="E32" s="178"/>
      <c r="F32" s="179"/>
      <c r="G32" s="179"/>
      <c r="H32" s="180"/>
      <c r="I32" s="180"/>
      <c r="J32" s="200"/>
      <c r="K32" s="181"/>
      <c r="V32" s="90"/>
      <c r="W32" s="265"/>
      <c r="X32" s="265" t="str">
        <f>LEFT(C32,13)</f>
        <v>Cr: Acct 0789</v>
      </c>
      <c r="Y32" s="266"/>
      <c r="Z32" s="263">
        <f>ROUND($K$32,-3)</f>
        <v>0</v>
      </c>
      <c r="AA32" s="411" t="s">
        <v>231</v>
      </c>
      <c r="AB32" s="411"/>
      <c r="AC32" s="411"/>
      <c r="AD32" s="266"/>
      <c r="AE32" s="266"/>
      <c r="AF32" s="261"/>
    </row>
    <row r="33" spans="1:32" ht="16.5" customHeight="1" x14ac:dyDescent="0.25">
      <c r="A33" s="88"/>
      <c r="B33" s="178"/>
      <c r="C33" s="26" t="str">
        <f>IF($F$7="Proprietary","Cr: Acct 0870 - SERVICES &amp; CHARGES (MG ADJ)",VLOOKUP($F$9,'Drop Down Menus'!$F$2:$G$10,2,FALSE))</f>
        <v>Cr: Acct 0XXX - FUNCTIONAL EXPENSE</v>
      </c>
      <c r="D33" s="178"/>
      <c r="E33" s="178"/>
      <c r="F33" s="179"/>
      <c r="G33" s="179"/>
      <c r="H33" s="180"/>
      <c r="I33" s="180"/>
      <c r="J33" s="200"/>
      <c r="K33" s="181"/>
      <c r="V33" s="90"/>
      <c r="W33" s="265"/>
      <c r="X33" s="265" t="str">
        <f>LEFT(C33,13)</f>
        <v>Cr: Acct 0XXX</v>
      </c>
      <c r="Y33" s="247"/>
      <c r="Z33" s="263">
        <f>IF(ROUND(K33,-3)+ROUND(K32,-3)=ROUND(J31,-3),IF(Y31=Z32,ROUND(K33,-3),Y31-Z32))</f>
        <v>0</v>
      </c>
      <c r="AA33" s="266"/>
      <c r="AB33" s="266"/>
      <c r="AC33" s="266"/>
      <c r="AD33" s="266"/>
      <c r="AE33" s="266"/>
      <c r="AF33" s="261"/>
    </row>
    <row r="34" spans="1:32" ht="16.5" customHeight="1" x14ac:dyDescent="0.25">
      <c r="A34" s="88"/>
      <c r="C34" s="43"/>
      <c r="D34" s="43"/>
      <c r="E34" s="43"/>
      <c r="F34" s="44"/>
      <c r="G34" s="44"/>
      <c r="H34" s="45"/>
      <c r="I34" s="45"/>
      <c r="J34" s="142">
        <f>SUM(J31:J33)</f>
        <v>0</v>
      </c>
      <c r="K34" s="142">
        <f>SUM(K31:K33)</f>
        <v>0</v>
      </c>
      <c r="L34" s="52" t="str">
        <f>IF(J34=K34,"&lt;- Debits and Credits equal each other.","&lt;- Debits and Credits do not equal each other.")</f>
        <v>&lt;- Debits and Credits equal each other.</v>
      </c>
      <c r="V34" s="90"/>
      <c r="W34" s="290"/>
      <c r="X34" s="265" t="str">
        <f>LEFT(C30,13)</f>
        <v/>
      </c>
      <c r="Y34" s="317">
        <f>ROUND(SUM(Y31),2)</f>
        <v>0</v>
      </c>
      <c r="Z34" s="317">
        <f>ROUND(SUM(Z32:Z33),2)</f>
        <v>0</v>
      </c>
      <c r="AA34" s="394" t="str">
        <f>IF(Y34=Z34,"&lt;- Debits and Credits equal each other.","&lt;- Debits and Credits do not equal each other.")</f>
        <v>&lt;- Debits and Credits equal each other.</v>
      </c>
      <c r="AB34" s="394"/>
      <c r="AC34" s="394"/>
      <c r="AD34" s="394"/>
      <c r="AE34" s="394"/>
      <c r="AF34" s="261"/>
    </row>
    <row r="35" spans="1:32" ht="16.5" customHeight="1" x14ac:dyDescent="0.25">
      <c r="A35" s="1"/>
      <c r="B35" s="42"/>
      <c r="C35" s="43"/>
      <c r="D35" s="43"/>
      <c r="E35" s="43"/>
      <c r="F35" s="44"/>
      <c r="G35" s="44"/>
      <c r="H35" s="45"/>
      <c r="I35" s="45"/>
      <c r="J35" s="46"/>
      <c r="K35" s="46"/>
      <c r="L35" s="21"/>
      <c r="V35" s="90"/>
      <c r="AF35" s="261"/>
    </row>
    <row r="36" spans="1:32" s="173" customFormat="1" ht="16.5" customHeight="1" x14ac:dyDescent="0.3">
      <c r="A36" s="169">
        <v>2</v>
      </c>
      <c r="B36" s="199" t="s">
        <v>139</v>
      </c>
      <c r="C36" s="176"/>
      <c r="D36" s="176"/>
      <c r="E36" s="176"/>
      <c r="F36" s="177"/>
      <c r="G36" s="177"/>
      <c r="H36" s="167"/>
      <c r="I36" s="167"/>
      <c r="J36" s="172"/>
      <c r="K36" s="172"/>
      <c r="V36" s="245">
        <f>A36</f>
        <v>2</v>
      </c>
      <c r="W36" s="270" t="str">
        <f>B36</f>
        <v>Record financed purchase assets. These amounts should be included in the Report 18.</v>
      </c>
      <c r="X36" s="272"/>
      <c r="Y36" s="272"/>
      <c r="Z36" s="272"/>
      <c r="AA36" s="272"/>
      <c r="AB36" s="272"/>
      <c r="AC36" s="272"/>
      <c r="AD36" s="272"/>
      <c r="AE36" s="272"/>
      <c r="AF36" s="277"/>
    </row>
    <row r="37" spans="1:32" ht="16.5" customHeight="1" x14ac:dyDescent="0.3">
      <c r="B37" s="26" t="s">
        <v>191</v>
      </c>
      <c r="C37" s="178"/>
      <c r="D37" s="178"/>
      <c r="E37" s="178"/>
      <c r="F37" s="179"/>
      <c r="G37" s="179"/>
      <c r="H37" s="180"/>
      <c r="I37" s="180"/>
      <c r="J37" s="181"/>
      <c r="K37" s="200"/>
      <c r="V37" s="259"/>
      <c r="W37" s="398" t="str">
        <f>LEFT(B37,13)</f>
        <v>Dr: Acct 0446</v>
      </c>
      <c r="X37" s="398"/>
      <c r="Y37" s="263">
        <f>ROUND($J$37,-3)</f>
        <v>0</v>
      </c>
      <c r="Z37" s="292"/>
      <c r="AA37" s="266"/>
      <c r="AB37" s="266"/>
      <c r="AC37" s="266"/>
      <c r="AD37" s="266"/>
      <c r="AE37" s="266"/>
      <c r="AF37" s="261"/>
    </row>
    <row r="38" spans="1:32" ht="16.5" customHeight="1" x14ac:dyDescent="0.25">
      <c r="A38" s="88"/>
      <c r="B38" s="26" t="s">
        <v>192</v>
      </c>
      <c r="C38" s="178"/>
      <c r="D38" s="178"/>
      <c r="E38" s="178"/>
      <c r="F38" s="179"/>
      <c r="G38" s="179"/>
      <c r="H38" s="180"/>
      <c r="I38" s="180"/>
      <c r="J38" s="181"/>
      <c r="K38" s="200"/>
      <c r="V38" s="246"/>
      <c r="W38" s="398" t="str">
        <f>LEFT(B38,13)</f>
        <v>Dr: Acct 0448</v>
      </c>
      <c r="X38" s="398"/>
      <c r="Y38" s="263">
        <f>ROUND($J$38,-3)</f>
        <v>0</v>
      </c>
      <c r="Z38" s="260"/>
      <c r="AA38" s="269" t="s">
        <v>231</v>
      </c>
      <c r="AB38" s="269"/>
      <c r="AC38" s="269"/>
      <c r="AD38" s="266"/>
      <c r="AE38" s="266"/>
      <c r="AF38" s="261"/>
    </row>
    <row r="39" spans="1:32" ht="16.5" customHeight="1" x14ac:dyDescent="0.25">
      <c r="A39" s="88"/>
      <c r="B39" s="26" t="s">
        <v>193</v>
      </c>
      <c r="C39" s="178"/>
      <c r="D39" s="178"/>
      <c r="E39" s="178"/>
      <c r="F39" s="179"/>
      <c r="G39" s="179"/>
      <c r="H39" s="180"/>
      <c r="I39" s="180"/>
      <c r="J39" s="181"/>
      <c r="K39" s="200"/>
      <c r="V39" s="249"/>
      <c r="W39" s="398" t="str">
        <f>LEFT(B39,13)</f>
        <v>Dr: Acct 0450</v>
      </c>
      <c r="X39" s="398"/>
      <c r="Y39" s="263">
        <f>ROUND($J$39,-3)</f>
        <v>0</v>
      </c>
      <c r="Z39" s="260"/>
      <c r="AA39" s="269" t="s">
        <v>231</v>
      </c>
      <c r="AB39" s="269"/>
      <c r="AC39" s="269"/>
      <c r="AD39" s="266"/>
      <c r="AE39" s="266"/>
      <c r="AF39" s="261"/>
    </row>
    <row r="40" spans="1:32" ht="16.5" customHeight="1" x14ac:dyDescent="0.25">
      <c r="A40" s="88"/>
      <c r="B40" s="347"/>
      <c r="C40" s="26" t="s">
        <v>195</v>
      </c>
      <c r="D40" s="178"/>
      <c r="E40" s="178"/>
      <c r="F40" s="179"/>
      <c r="G40" s="179"/>
      <c r="H40" s="180"/>
      <c r="I40" s="180"/>
      <c r="J40" s="200"/>
      <c r="K40" s="181"/>
      <c r="V40" s="249"/>
      <c r="W40" s="290"/>
      <c r="X40" s="265" t="str">
        <f>LEFT(C40,13)</f>
        <v>Cr: Acct 0842</v>
      </c>
      <c r="Y40" s="260"/>
      <c r="Z40" s="263">
        <f>IF(ROUND($K$40,-3)=ROUND($J$37,-3)+ROUND($J$38,-3)+ROUND($J$39,-3),ROUND($K$40,-3),SUM(ROUND($J$37,-3),ROUND($J$38,-3),ROUND($J$39,-3)))</f>
        <v>0</v>
      </c>
      <c r="AA40" s="266"/>
      <c r="AB40" s="266"/>
      <c r="AC40" s="266"/>
      <c r="AD40" s="266"/>
      <c r="AE40" s="266"/>
      <c r="AF40" s="261"/>
    </row>
    <row r="41" spans="1:32" ht="16.5" customHeight="1" x14ac:dyDescent="0.25">
      <c r="A41" s="88"/>
      <c r="C41" s="47"/>
      <c r="D41" s="47"/>
      <c r="E41" s="47"/>
      <c r="F41" s="48"/>
      <c r="G41" s="48"/>
      <c r="H41" s="49"/>
      <c r="I41" s="49"/>
      <c r="J41" s="142">
        <f>SUM(J37:J40)</f>
        <v>0</v>
      </c>
      <c r="K41" s="142">
        <f>SUM(K37:K40)</f>
        <v>0</v>
      </c>
      <c r="L41" s="52" t="str">
        <f>IF(J41=K41,"&lt;- Debits and Credits equal each other.","&lt;- Debits and Credits do not equal each other.")</f>
        <v>&lt;- Debits and Credits equal each other.</v>
      </c>
      <c r="V41" s="249"/>
      <c r="W41" s="290"/>
      <c r="X41" s="265" t="str">
        <f>LEFT(C37,13)</f>
        <v/>
      </c>
      <c r="Y41" s="317">
        <f>ROUND(SUM(Y37:Y39),2)</f>
        <v>0</v>
      </c>
      <c r="Z41" s="317">
        <f>ROUND(SUM(Z40),2)</f>
        <v>0</v>
      </c>
      <c r="AA41" s="394" t="str">
        <f>IF(Y41=Z41,"&lt;- Debits and Credits equal each other.","&lt;- Debits and Credits do not equal each other.")</f>
        <v>&lt;- Debits and Credits equal each other.</v>
      </c>
      <c r="AB41" s="394"/>
      <c r="AC41" s="394"/>
      <c r="AD41" s="394"/>
      <c r="AE41" s="394"/>
      <c r="AF41" s="261"/>
    </row>
    <row r="42" spans="1:32" ht="16.5" customHeight="1" x14ac:dyDescent="0.25">
      <c r="A42" s="1"/>
      <c r="B42" s="26"/>
      <c r="C42" s="50"/>
      <c r="D42" s="47"/>
      <c r="E42" s="47"/>
      <c r="F42" s="48"/>
      <c r="G42" s="48"/>
      <c r="H42" s="49"/>
      <c r="I42" s="49"/>
      <c r="J42" s="142"/>
      <c r="K42" s="142"/>
      <c r="L42" s="21"/>
      <c r="V42" s="90"/>
      <c r="AF42" s="261"/>
    </row>
    <row r="43" spans="1:32" s="173" customFormat="1" ht="16.5" customHeight="1" x14ac:dyDescent="0.3">
      <c r="A43" s="169">
        <v>3</v>
      </c>
      <c r="B43" s="199" t="s">
        <v>136</v>
      </c>
      <c r="C43" s="176"/>
      <c r="D43" s="176"/>
      <c r="E43" s="176"/>
      <c r="F43" s="177"/>
      <c r="G43" s="177"/>
      <c r="H43" s="167"/>
      <c r="I43" s="167"/>
      <c r="J43" s="172"/>
      <c r="K43" s="172"/>
      <c r="V43" s="245">
        <f>A43</f>
        <v>3</v>
      </c>
      <c r="W43" s="270" t="str">
        <f>B43</f>
        <v xml:space="preserve">Replace proceeds from leases with other noncurrent liabilities. </v>
      </c>
      <c r="X43" s="294"/>
      <c r="Y43" s="291"/>
      <c r="Z43" s="291"/>
      <c r="AA43" s="266"/>
      <c r="AB43" s="266"/>
      <c r="AC43" s="266"/>
      <c r="AD43" s="266"/>
      <c r="AE43" s="266"/>
      <c r="AF43" s="277"/>
    </row>
    <row r="44" spans="1:32" ht="16.5" customHeight="1" x14ac:dyDescent="0.25">
      <c r="B44" s="26" t="s">
        <v>1732</v>
      </c>
      <c r="C44" s="178"/>
      <c r="D44" s="178"/>
      <c r="E44" s="178"/>
      <c r="F44" s="179"/>
      <c r="G44" s="179"/>
      <c r="H44" s="180"/>
      <c r="I44" s="180"/>
      <c r="J44" s="181"/>
      <c r="K44" s="200"/>
      <c r="V44" s="259"/>
      <c r="W44" s="268" t="str">
        <f>LEFT(B44,13)</f>
        <v>Dr: Acct 0789</v>
      </c>
      <c r="X44" s="268"/>
      <c r="Y44" s="263">
        <f>Z32</f>
        <v>0</v>
      </c>
      <c r="AA44" s="266"/>
      <c r="AB44" s="266"/>
      <c r="AC44" s="266"/>
      <c r="AD44" s="266"/>
      <c r="AE44" s="266"/>
      <c r="AF44" s="261"/>
    </row>
    <row r="45" spans="1:32" ht="16.5" customHeight="1" x14ac:dyDescent="0.25">
      <c r="A45" s="88"/>
      <c r="B45" s="178"/>
      <c r="C45" s="26" t="s">
        <v>188</v>
      </c>
      <c r="D45" s="178"/>
      <c r="E45" s="178"/>
      <c r="F45" s="179"/>
      <c r="G45" s="179"/>
      <c r="H45" s="180"/>
      <c r="I45" s="180"/>
      <c r="J45" s="200"/>
      <c r="K45" s="181"/>
      <c r="V45" s="90"/>
      <c r="W45" s="267"/>
      <c r="X45" s="265" t="str">
        <f>LEFT(C45,13)</f>
        <v>Cr: Acct 0695</v>
      </c>
      <c r="Y45" s="322"/>
      <c r="Z45" s="323">
        <f>Y44</f>
        <v>0</v>
      </c>
      <c r="AA45" s="267"/>
      <c r="AB45" s="267"/>
      <c r="AC45" s="267"/>
      <c r="AD45" s="267"/>
      <c r="AE45" s="267"/>
      <c r="AF45" s="261"/>
    </row>
    <row r="46" spans="1:32" ht="16.5" customHeight="1" x14ac:dyDescent="0.25">
      <c r="A46" s="88"/>
      <c r="C46" s="43"/>
      <c r="D46" s="43"/>
      <c r="E46" s="43"/>
      <c r="F46" s="44"/>
      <c r="G46" s="44"/>
      <c r="H46" s="45"/>
      <c r="I46" s="45"/>
      <c r="J46" s="142">
        <f>SUM(J44:J45)</f>
        <v>0</v>
      </c>
      <c r="K46" s="142">
        <f>SUM(K44:K45)</f>
        <v>0</v>
      </c>
      <c r="L46" s="52" t="str">
        <f>IF(J46=K46,"&lt;- Debits and Credits equal each other.","&lt;- Debits and Credits do not equal each other.")</f>
        <v>&lt;- Debits and Credits equal each other.</v>
      </c>
      <c r="V46" s="90"/>
      <c r="Y46" s="317">
        <f>ROUND(SUM(Y44),2)</f>
        <v>0</v>
      </c>
      <c r="Z46" s="317">
        <f>ROUND(SUM(Z45),2)</f>
        <v>0</v>
      </c>
      <c r="AA46" s="394" t="str">
        <f>IF(Y46=Z46,"&lt;- Debits and Credits equal each other.","&lt;- Debits and Credits do not equal each other.")</f>
        <v>&lt;- Debits and Credits equal each other.</v>
      </c>
      <c r="AB46" s="394"/>
      <c r="AC46" s="394"/>
      <c r="AD46" s="394"/>
      <c r="AE46" s="394"/>
      <c r="AF46" s="261"/>
    </row>
    <row r="47" spans="1:32" ht="16.5" customHeight="1" x14ac:dyDescent="0.25">
      <c r="A47" s="1"/>
      <c r="B47" s="26"/>
      <c r="C47" s="43"/>
      <c r="D47" s="43"/>
      <c r="E47" s="43"/>
      <c r="F47" s="44"/>
      <c r="G47" s="44"/>
      <c r="H47" s="45"/>
      <c r="I47" s="45"/>
      <c r="V47" s="90"/>
      <c r="AF47" s="261"/>
    </row>
    <row r="48" spans="1:32" s="163" customFormat="1" ht="21" customHeight="1" x14ac:dyDescent="0.3">
      <c r="A48" s="157" t="s">
        <v>1726</v>
      </c>
      <c r="B48" s="158"/>
      <c r="C48" s="159"/>
      <c r="D48" s="159"/>
      <c r="E48" s="159"/>
      <c r="F48" s="160"/>
      <c r="G48" s="160"/>
      <c r="H48" s="161"/>
      <c r="I48" s="161"/>
      <c r="J48" s="160"/>
      <c r="K48" s="160"/>
      <c r="L48" s="39"/>
      <c r="M48" s="39"/>
      <c r="N48" s="162"/>
      <c r="O48" s="162"/>
      <c r="P48" s="162"/>
      <c r="V48" s="395" t="str">
        <f>A48</f>
        <v>Record Annual Activity (all financed purchases)</v>
      </c>
      <c r="W48" s="396"/>
      <c r="X48" s="396"/>
      <c r="Y48" s="396"/>
      <c r="Z48" s="396"/>
      <c r="AA48" s="396"/>
      <c r="AB48" s="396"/>
      <c r="AC48" s="396"/>
      <c r="AD48" s="396"/>
      <c r="AE48" s="396"/>
      <c r="AF48" s="397"/>
    </row>
    <row r="49" spans="1:32" s="173" customFormat="1" ht="16.5" customHeight="1" x14ac:dyDescent="0.3">
      <c r="A49" s="169">
        <v>4</v>
      </c>
      <c r="B49" s="199" t="s">
        <v>137</v>
      </c>
      <c r="C49" s="176"/>
      <c r="D49" s="176"/>
      <c r="E49" s="176"/>
      <c r="F49" s="177"/>
      <c r="G49" s="177"/>
      <c r="H49" s="167"/>
      <c r="I49" s="167"/>
      <c r="J49" s="172"/>
      <c r="K49" s="172"/>
      <c r="V49" s="245">
        <f>A49</f>
        <v>4</v>
      </c>
      <c r="W49" s="270" t="str">
        <f>B49</f>
        <v>Record depreciation of the financed purchase assets for the year.</v>
      </c>
      <c r="AF49" s="254"/>
    </row>
    <row r="50" spans="1:32" ht="16.5" customHeight="1" x14ac:dyDescent="0.25">
      <c r="A50" s="88"/>
      <c r="B50" s="26" t="s">
        <v>197</v>
      </c>
      <c r="C50" s="52"/>
      <c r="D50" s="178"/>
      <c r="E50" s="178"/>
      <c r="F50" s="179"/>
      <c r="G50" s="179"/>
      <c r="H50" s="180"/>
      <c r="I50" s="180"/>
      <c r="J50" s="181"/>
      <c r="K50" s="200"/>
      <c r="V50" s="90"/>
      <c r="W50" s="398" t="str">
        <f>LEFT(B50,13)</f>
        <v>Dr: Acct 0875</v>
      </c>
      <c r="X50" s="398"/>
      <c r="Y50" s="263">
        <f>SUM($Z$51:$Z$52)</f>
        <v>0</v>
      </c>
      <c r="AF50" s="254"/>
    </row>
    <row r="51" spans="1:32" ht="16.5" customHeight="1" x14ac:dyDescent="0.25">
      <c r="A51" s="88"/>
      <c r="B51" s="52"/>
      <c r="C51" s="26" t="s">
        <v>187</v>
      </c>
      <c r="D51" s="178"/>
      <c r="E51" s="178"/>
      <c r="F51" s="179"/>
      <c r="G51" s="179"/>
      <c r="H51" s="180"/>
      <c r="I51" s="180"/>
      <c r="J51" s="202"/>
      <c r="K51" s="181"/>
      <c r="V51" s="90"/>
      <c r="X51" s="265" t="str">
        <f>LEFT(C51,13)</f>
        <v>Cr: Acct 0458</v>
      </c>
      <c r="Z51" s="263">
        <f>ROUND($K$51,-3)</f>
        <v>0</v>
      </c>
      <c r="AF51" s="254"/>
    </row>
    <row r="52" spans="1:32" ht="16.5" customHeight="1" x14ac:dyDescent="0.25">
      <c r="A52" s="88"/>
      <c r="B52" s="52"/>
      <c r="C52" s="26" t="s">
        <v>190</v>
      </c>
      <c r="D52" s="178"/>
      <c r="E52" s="178"/>
      <c r="F52" s="179"/>
      <c r="G52" s="179"/>
      <c r="H52" s="180"/>
      <c r="I52" s="180"/>
      <c r="J52" s="202"/>
      <c r="K52" s="181"/>
      <c r="V52" s="90"/>
      <c r="X52" s="265" t="str">
        <f>LEFT(C52,13)</f>
        <v>Cr: Acct 0462</v>
      </c>
      <c r="Z52" s="263">
        <f>ROUND($K$52,-3)</f>
        <v>0</v>
      </c>
      <c r="AF52" s="254"/>
    </row>
    <row r="53" spans="1:32" ht="16.5" customHeight="1" x14ac:dyDescent="0.25">
      <c r="A53" s="88"/>
      <c r="C53" s="47"/>
      <c r="D53" s="47"/>
      <c r="E53" s="47"/>
      <c r="F53" s="48"/>
      <c r="G53" s="48"/>
      <c r="H53" s="49"/>
      <c r="I53" s="49"/>
      <c r="J53" s="142">
        <f>SUM(J50:J52)</f>
        <v>0</v>
      </c>
      <c r="K53" s="142">
        <f>SUM(K50:K52)</f>
        <v>0</v>
      </c>
      <c r="L53" s="52" t="str">
        <f>IF(J53=K53,"&lt;- Debits and Credits equal each other.","&lt;- Debits and Credits do not equal each other.")</f>
        <v>&lt;- Debits and Credits equal each other.</v>
      </c>
      <c r="V53" s="90"/>
      <c r="X53" s="265" t="str">
        <f>LEFT(C53,13)</f>
        <v/>
      </c>
      <c r="Y53" s="317">
        <f>ROUND(SUM(Y50),2)</f>
        <v>0</v>
      </c>
      <c r="Z53" s="317">
        <f>ROUND(SUM(Z51:Z52),2)</f>
        <v>0</v>
      </c>
      <c r="AA53" s="394" t="str">
        <f>IF(Y53=Z53,"&lt;- Debits and Credits equal each other.","&lt;- Debits and Credits do not equal each other.")</f>
        <v>&lt;- Debits and Credits equal each other.</v>
      </c>
      <c r="AB53" s="394"/>
      <c r="AC53" s="394"/>
      <c r="AD53" s="394"/>
      <c r="AE53" s="394"/>
      <c r="AF53" s="254"/>
    </row>
    <row r="54" spans="1:32" ht="16.5" customHeight="1" x14ac:dyDescent="0.25">
      <c r="A54" s="349"/>
      <c r="B54" s="350"/>
      <c r="C54" s="47"/>
      <c r="D54" s="47"/>
      <c r="E54" s="47"/>
      <c r="F54" s="48"/>
      <c r="G54" s="48"/>
      <c r="H54" s="49"/>
      <c r="I54" s="49"/>
      <c r="J54" s="142"/>
      <c r="K54" s="142"/>
      <c r="L54" s="21"/>
      <c r="V54" s="90"/>
      <c r="AF54" s="254"/>
    </row>
    <row r="55" spans="1:32" s="173" customFormat="1" ht="16.5" customHeight="1" x14ac:dyDescent="0.3">
      <c r="A55" s="169">
        <v>5</v>
      </c>
      <c r="B55" s="199" t="s">
        <v>1730</v>
      </c>
      <c r="C55" s="176"/>
      <c r="D55" s="176"/>
      <c r="E55" s="176"/>
      <c r="F55" s="177"/>
      <c r="G55" s="177"/>
      <c r="H55" s="167"/>
      <c r="I55" s="167"/>
      <c r="J55" s="172"/>
      <c r="K55" s="172"/>
      <c r="V55" s="245">
        <f>A55</f>
        <v>5</v>
      </c>
      <c r="W55" s="270" t="str">
        <f>B55</f>
        <v>Reclassify rents and leases exp. to financed purchase contract principal and interest exp.</v>
      </c>
      <c r="AC55" s="37"/>
      <c r="AF55" s="277"/>
    </row>
    <row r="56" spans="1:32" ht="16.5" customHeight="1" x14ac:dyDescent="0.25">
      <c r="B56" s="26" t="s">
        <v>198</v>
      </c>
      <c r="C56" s="178"/>
      <c r="D56" s="178"/>
      <c r="E56" s="178"/>
      <c r="F56" s="179"/>
      <c r="G56" s="179"/>
      <c r="H56" s="180"/>
      <c r="I56" s="180"/>
      <c r="J56" s="181"/>
      <c r="K56" s="351"/>
      <c r="L56" s="37" t="str">
        <f>IF($J$56=$K$63,"","&lt;- Accts 0848 must agree")</f>
        <v/>
      </c>
      <c r="V56" s="90"/>
      <c r="W56" s="398" t="str">
        <f>LEFT(B56,13)</f>
        <v>Dr: Acct 0848</v>
      </c>
      <c r="X56" s="398"/>
      <c r="Y56" s="263">
        <f>ROUND($J$56,-3)</f>
        <v>0</v>
      </c>
      <c r="AF56" s="261"/>
    </row>
    <row r="57" spans="1:32" ht="16.5" customHeight="1" x14ac:dyDescent="0.25">
      <c r="A57" s="88"/>
      <c r="B57" s="26" t="str">
        <f>IF($F$7="Governmental","Dr: Acct 0851 - DEBT SERVICE - INTEREST LEASES","Dr: Acct 0894 - INTEREST EXPENSE AND FISCAL CHARGES")</f>
        <v>Dr: Acct 0894 - INTEREST EXPENSE AND FISCAL CHARGES</v>
      </c>
      <c r="C57" s="178"/>
      <c r="D57" s="178"/>
      <c r="E57" s="178"/>
      <c r="F57" s="179"/>
      <c r="G57" s="179"/>
      <c r="H57" s="180"/>
      <c r="I57" s="180"/>
      <c r="J57" s="181"/>
      <c r="K57" s="351"/>
      <c r="V57" s="90"/>
      <c r="W57" s="398" t="str">
        <f>LEFT(B57,13)</f>
        <v>Dr: Acct 0894</v>
      </c>
      <c r="X57" s="398"/>
      <c r="Y57" s="263">
        <f>ROUND($J$57,-3)</f>
        <v>0</v>
      </c>
      <c r="AF57" s="261"/>
    </row>
    <row r="58" spans="1:32" ht="16.5" customHeight="1" x14ac:dyDescent="0.25">
      <c r="A58" s="88"/>
      <c r="B58" s="178"/>
      <c r="C58" s="26" t="str">
        <f>IF($F$7="Proprietary","Cr: Acct 0870 - SERVICES &amp; CHARGES (MG ADJ)",VLOOKUP($F$9,'Drop Down Menus'!$F$2:$G$10,2,FALSE))</f>
        <v>Cr: Acct 0XXX - FUNCTIONAL EXPENSE</v>
      </c>
      <c r="D58" s="178"/>
      <c r="E58" s="178"/>
      <c r="F58" s="179"/>
      <c r="G58" s="179"/>
      <c r="H58" s="180"/>
      <c r="I58" s="180"/>
      <c r="J58" s="351"/>
      <c r="K58" s="181"/>
      <c r="V58" s="90"/>
      <c r="Z58" s="263">
        <f>SUM($Y$56:$Y$57)</f>
        <v>0</v>
      </c>
      <c r="AF58" s="261"/>
    </row>
    <row r="59" spans="1:32" ht="16.5" customHeight="1" x14ac:dyDescent="0.25">
      <c r="A59" s="88"/>
      <c r="C59" s="43"/>
      <c r="D59" s="43"/>
      <c r="E59" s="43"/>
      <c r="F59" s="44"/>
      <c r="G59" s="44"/>
      <c r="H59" s="45"/>
      <c r="I59" s="45"/>
      <c r="J59" s="142">
        <f>SUM(J56:J58)</f>
        <v>0</v>
      </c>
      <c r="K59" s="142">
        <f>SUM(K56:K58)</f>
        <v>0</v>
      </c>
      <c r="L59" s="52" t="str">
        <f>IF(J59=K59,"&lt;- Debits and Credits equal each other.","&lt;- Debits and Credits do not equal each other.")</f>
        <v>&lt;- Debits and Credits equal each other.</v>
      </c>
      <c r="V59" s="90"/>
      <c r="Y59" s="317">
        <f>ROUND(SUM(Y56:Y57),2)</f>
        <v>0</v>
      </c>
      <c r="Z59" s="317">
        <f>ROUND(SUM(Z58),2)</f>
        <v>0</v>
      </c>
      <c r="AA59" s="394" t="str">
        <f>IF(Y59=Z59,"&lt;- Debits and Credits equal each other.","&lt;- Debits and Credits do not equal each other.")</f>
        <v>&lt;- Debits and Credits equal each other.</v>
      </c>
      <c r="AB59" s="394"/>
      <c r="AC59" s="394"/>
      <c r="AD59" s="394"/>
      <c r="AE59" s="394"/>
      <c r="AF59" s="261"/>
    </row>
    <row r="60" spans="1:32" ht="16.5" customHeight="1" x14ac:dyDescent="0.25">
      <c r="A60" s="1"/>
      <c r="B60" s="43"/>
      <c r="C60" s="43"/>
      <c r="D60" s="43"/>
      <c r="E60" s="43"/>
      <c r="F60" s="44"/>
      <c r="G60" s="44"/>
      <c r="H60" s="45"/>
      <c r="I60" s="45"/>
      <c r="J60" s="142"/>
      <c r="K60" s="142"/>
      <c r="L60" s="21"/>
      <c r="V60" s="90"/>
      <c r="AF60" s="261"/>
    </row>
    <row r="61" spans="1:32" s="173" customFormat="1" ht="16.5" customHeight="1" x14ac:dyDescent="0.3">
      <c r="A61" s="169">
        <v>6</v>
      </c>
      <c r="B61" s="199" t="s">
        <v>133</v>
      </c>
      <c r="C61" s="176"/>
      <c r="D61" s="176"/>
      <c r="E61" s="176"/>
      <c r="F61" s="177"/>
      <c r="G61" s="177"/>
      <c r="H61" s="167"/>
      <c r="I61" s="167"/>
      <c r="J61" s="172"/>
      <c r="K61" s="172"/>
      <c r="V61" s="245">
        <f>A61</f>
        <v>6</v>
      </c>
      <c r="W61" s="270" t="str">
        <f>B61</f>
        <v>Reduce financed purchase contracts liability for total current year principal payments.</v>
      </c>
      <c r="AF61" s="277"/>
    </row>
    <row r="62" spans="1:32" ht="16.5" customHeight="1" x14ac:dyDescent="0.25">
      <c r="B62" s="26" t="s">
        <v>1638</v>
      </c>
      <c r="C62" s="178"/>
      <c r="D62" s="178"/>
      <c r="E62" s="178"/>
      <c r="F62" s="179"/>
      <c r="G62" s="179"/>
      <c r="H62" s="180"/>
      <c r="I62" s="180"/>
      <c r="J62" s="181"/>
      <c r="K62" s="351"/>
      <c r="V62" s="90"/>
      <c r="W62" s="398" t="str">
        <f>LEFT(B62,13)</f>
        <v>Dr: Acct 0695</v>
      </c>
      <c r="X62" s="398"/>
      <c r="Y62" s="263">
        <f>ROUND($J$62,-3)</f>
        <v>0</v>
      </c>
      <c r="AF62" s="261"/>
    </row>
    <row r="63" spans="1:32" ht="16.5" customHeight="1" x14ac:dyDescent="0.25">
      <c r="A63" s="88"/>
      <c r="B63" s="178"/>
      <c r="C63" s="26" t="s">
        <v>200</v>
      </c>
      <c r="D63" s="178"/>
      <c r="E63" s="178"/>
      <c r="F63" s="179"/>
      <c r="G63" s="179"/>
      <c r="H63" s="180"/>
      <c r="I63" s="180"/>
      <c r="J63" s="351"/>
      <c r="K63" s="181"/>
      <c r="L63" s="37" t="str">
        <f>IF($J$56=$K$63,"","&lt;- Accts 0848 must agree")</f>
        <v/>
      </c>
      <c r="V63" s="90"/>
      <c r="X63" s="265" t="str">
        <f>LEFT(C63,13)</f>
        <v>Cr: Acct 0848</v>
      </c>
      <c r="Z63" s="263">
        <f>ROUND($K$63,-3)</f>
        <v>0</v>
      </c>
      <c r="AF63" s="261"/>
    </row>
    <row r="64" spans="1:32" ht="16.5" customHeight="1" x14ac:dyDescent="0.25">
      <c r="A64" s="88"/>
      <c r="C64" s="43"/>
      <c r="D64" s="43"/>
      <c r="E64" s="43"/>
      <c r="F64" s="44"/>
      <c r="G64" s="44"/>
      <c r="H64" s="45"/>
      <c r="I64" s="45"/>
      <c r="J64" s="142">
        <f>SUM(J62:J63)</f>
        <v>0</v>
      </c>
      <c r="K64" s="142">
        <f>SUM(K62:K63)</f>
        <v>0</v>
      </c>
      <c r="L64" s="52" t="str">
        <f>IF(J64=K64,"&lt;- Debits and Credits equal each other.","&lt;- Debits and Credits do not equal each other.")</f>
        <v>&lt;- Debits and Credits equal each other.</v>
      </c>
      <c r="V64" s="90"/>
      <c r="Y64" s="317">
        <f>ROUND(SUM(Y62),2)</f>
        <v>0</v>
      </c>
      <c r="Z64" s="317">
        <f>ROUND(SUM(Z63),2)</f>
        <v>0</v>
      </c>
      <c r="AA64" s="394" t="str">
        <f>IF(Y64=Z64,"&lt;- Debits and Credits equal each other.","&lt;- Debits and Credits do not equal each other.")</f>
        <v>&lt;- Debits and Credits equal each other.</v>
      </c>
      <c r="AB64" s="394"/>
      <c r="AC64" s="394"/>
      <c r="AD64" s="394"/>
      <c r="AE64" s="394"/>
      <c r="AF64" s="261"/>
    </row>
    <row r="65" spans="1:32" ht="16.5" customHeight="1" x14ac:dyDescent="0.25">
      <c r="A65" s="1"/>
      <c r="B65" s="43"/>
      <c r="C65" s="43"/>
      <c r="D65" s="43"/>
      <c r="E65" s="43"/>
      <c r="F65" s="44"/>
      <c r="G65" s="44"/>
      <c r="H65" s="45"/>
      <c r="I65" s="45"/>
      <c r="J65" s="142"/>
      <c r="K65" s="142"/>
      <c r="L65" s="21"/>
      <c r="V65" s="90"/>
      <c r="AF65" s="261"/>
    </row>
    <row r="66" spans="1:32" s="173" customFormat="1" ht="16.5" customHeight="1" x14ac:dyDescent="0.3">
      <c r="A66" s="169">
        <v>7</v>
      </c>
      <c r="B66" s="199" t="s">
        <v>134</v>
      </c>
      <c r="C66" s="176"/>
      <c r="D66" s="176"/>
      <c r="E66" s="176"/>
      <c r="F66" s="177"/>
      <c r="G66" s="177"/>
      <c r="H66" s="167"/>
      <c r="I66" s="167"/>
      <c r="J66" s="172"/>
      <c r="K66" s="172"/>
      <c r="V66" s="245">
        <f>A66</f>
        <v>7</v>
      </c>
      <c r="W66" s="270" t="str">
        <f>B66</f>
        <v>Reclassify the principal amount due in the next FY to the current liability.</v>
      </c>
      <c r="AF66" s="277"/>
    </row>
    <row r="67" spans="1:32" ht="16.5" customHeight="1" x14ac:dyDescent="0.25">
      <c r="B67" s="26" t="s">
        <v>1638</v>
      </c>
      <c r="C67" s="178"/>
      <c r="D67" s="178"/>
      <c r="E67" s="178"/>
      <c r="F67" s="179"/>
      <c r="G67" s="179"/>
      <c r="H67" s="180"/>
      <c r="I67" s="180"/>
      <c r="J67" s="181"/>
      <c r="K67" s="351"/>
      <c r="V67" s="90"/>
      <c r="W67" s="398" t="str">
        <f>LEFT(B67,13)</f>
        <v>Dr: Acct 0695</v>
      </c>
      <c r="X67" s="398"/>
      <c r="Y67" s="263">
        <f>ROUND($J$67,-3)</f>
        <v>0</v>
      </c>
      <c r="AF67" s="261"/>
    </row>
    <row r="68" spans="1:32" ht="16.5" customHeight="1" x14ac:dyDescent="0.25">
      <c r="A68" s="88"/>
      <c r="B68" s="178"/>
      <c r="C68" s="26" t="s">
        <v>1741</v>
      </c>
      <c r="D68" s="178"/>
      <c r="E68" s="178"/>
      <c r="F68" s="179"/>
      <c r="G68" s="179"/>
      <c r="H68" s="180"/>
      <c r="I68" s="180"/>
      <c r="J68" s="351"/>
      <c r="K68" s="181"/>
      <c r="V68" s="90"/>
      <c r="X68" s="265" t="str">
        <f>LEFT(C68,13)</f>
        <v>Cr: Acct 0677</v>
      </c>
      <c r="Z68" s="263">
        <f>ROUND($K$68,-3)</f>
        <v>0</v>
      </c>
      <c r="AF68" s="261"/>
    </row>
    <row r="69" spans="1:32" ht="16.5" customHeight="1" x14ac:dyDescent="0.2">
      <c r="A69" s="88"/>
      <c r="B69" s="448" t="s">
        <v>1723</v>
      </c>
      <c r="C69" s="448"/>
      <c r="D69" s="448"/>
      <c r="E69" s="448"/>
      <c r="F69" s="448"/>
      <c r="G69" s="448"/>
      <c r="H69" s="448"/>
      <c r="I69" s="448"/>
      <c r="J69" s="142">
        <f>SUM(J67:J68)</f>
        <v>0</v>
      </c>
      <c r="K69" s="142">
        <f>SUM(K67:K68)</f>
        <v>0</v>
      </c>
      <c r="L69" s="52" t="str">
        <f>IF(J69=K69,"&lt;- Debits and Credits equal each other.","&lt;- Debits and Credits do not equal each other.")</f>
        <v>&lt;- Debits and Credits equal each other.</v>
      </c>
      <c r="V69" s="90"/>
      <c r="Y69" s="317">
        <f>ROUND(SUM(Y67),2)</f>
        <v>0</v>
      </c>
      <c r="Z69" s="317">
        <f>ROUND(SUM(Z68),2)</f>
        <v>0</v>
      </c>
      <c r="AA69" s="394" t="str">
        <f>IF(Y69=Z69,"&lt;- Debits and Credits equal each other.","&lt;- Debits and Credits do not equal each other.")</f>
        <v>&lt;- Debits and Credits equal each other.</v>
      </c>
      <c r="AB69" s="394"/>
      <c r="AC69" s="394"/>
      <c r="AD69" s="394"/>
      <c r="AE69" s="394"/>
      <c r="AF69" s="261"/>
    </row>
    <row r="70" spans="1:32" ht="19.5" customHeight="1" x14ac:dyDescent="0.25">
      <c r="A70" s="88"/>
      <c r="B70" s="448"/>
      <c r="C70" s="448"/>
      <c r="D70" s="448"/>
      <c r="E70" s="448"/>
      <c r="F70" s="448"/>
      <c r="G70" s="448"/>
      <c r="H70" s="448"/>
      <c r="I70" s="448"/>
      <c r="V70" s="90"/>
      <c r="Y70" s="352"/>
      <c r="Z70" s="352"/>
      <c r="AF70" s="261"/>
    </row>
    <row r="71" spans="1:32" ht="21.75" customHeight="1" x14ac:dyDescent="0.2">
      <c r="A71" s="1"/>
      <c r="B71" s="448"/>
      <c r="C71" s="448"/>
      <c r="D71" s="448"/>
      <c r="E71" s="448"/>
      <c r="F71" s="448"/>
      <c r="G71" s="448"/>
      <c r="H71" s="448"/>
      <c r="I71" s="448"/>
      <c r="V71" s="90"/>
      <c r="AF71" s="261"/>
    </row>
    <row r="72" spans="1:32" ht="16.5" customHeight="1" x14ac:dyDescent="0.25">
      <c r="A72" s="1"/>
      <c r="B72" s="26"/>
      <c r="C72" s="43"/>
      <c r="D72" s="43"/>
      <c r="E72" s="43"/>
      <c r="F72" s="44"/>
      <c r="G72" s="44"/>
      <c r="H72" s="45"/>
      <c r="I72" s="45"/>
      <c r="V72" s="90"/>
      <c r="AF72" s="261"/>
    </row>
    <row r="73" spans="1:32" ht="16.5" customHeight="1" x14ac:dyDescent="0.3">
      <c r="A73" s="157" t="s">
        <v>1756</v>
      </c>
      <c r="B73" s="158"/>
      <c r="C73" s="159"/>
      <c r="D73" s="159"/>
      <c r="E73" s="159"/>
      <c r="F73" s="160"/>
      <c r="G73" s="160"/>
      <c r="H73" s="161"/>
      <c r="I73" s="161"/>
      <c r="J73" s="160"/>
      <c r="K73" s="160"/>
      <c r="L73" s="39"/>
      <c r="M73" s="39"/>
      <c r="N73" s="162"/>
      <c r="O73" s="162"/>
      <c r="P73" s="162"/>
      <c r="Q73" s="163"/>
      <c r="R73" s="163"/>
      <c r="V73" s="395" t="str">
        <f>A73</f>
        <v>Remove Financed Purchase Assets (Disposed)</v>
      </c>
      <c r="W73" s="396"/>
      <c r="X73" s="396"/>
      <c r="Y73" s="396"/>
      <c r="Z73" s="396"/>
      <c r="AA73" s="396"/>
      <c r="AB73" s="396"/>
      <c r="AC73" s="396"/>
      <c r="AD73" s="396"/>
      <c r="AE73" s="396"/>
      <c r="AF73" s="397"/>
    </row>
    <row r="74" spans="1:32" ht="16.5" customHeight="1" x14ac:dyDescent="0.3">
      <c r="A74" s="169">
        <v>8</v>
      </c>
      <c r="B74" s="199" t="s">
        <v>1762</v>
      </c>
      <c r="C74" s="176"/>
      <c r="D74" s="176"/>
      <c r="E74" s="176"/>
      <c r="F74" s="177"/>
      <c r="G74" s="177"/>
      <c r="H74" s="167"/>
      <c r="I74" s="167"/>
      <c r="J74" s="172"/>
      <c r="K74" s="172"/>
      <c r="L74" s="173"/>
      <c r="M74" s="173"/>
      <c r="N74" s="173"/>
      <c r="O74" s="173"/>
      <c r="P74" s="173"/>
      <c r="Q74" s="173"/>
      <c r="R74" s="173"/>
      <c r="V74" s="245">
        <f>A74</f>
        <v>8</v>
      </c>
      <c r="W74" s="270" t="str">
        <f>B74</f>
        <v>Record disposal of financed purchase assets.</v>
      </c>
      <c r="X74" s="272"/>
      <c r="Y74" s="272"/>
      <c r="Z74" s="272"/>
      <c r="AA74" s="173"/>
      <c r="AB74" s="173"/>
      <c r="AC74" s="173"/>
      <c r="AD74" s="173"/>
      <c r="AE74" s="173"/>
      <c r="AF74" s="277"/>
    </row>
    <row r="75" spans="1:32" ht="16.5" customHeight="1" x14ac:dyDescent="0.3">
      <c r="A75" s="88"/>
      <c r="B75" s="26" t="s">
        <v>1757</v>
      </c>
      <c r="C75" s="52"/>
      <c r="D75" s="178"/>
      <c r="E75" s="178"/>
      <c r="F75" s="179"/>
      <c r="G75" s="179"/>
      <c r="H75" s="180"/>
      <c r="I75" s="180"/>
      <c r="J75" s="181"/>
      <c r="K75" s="200"/>
      <c r="V75" s="259"/>
      <c r="W75" s="398" t="str">
        <f>LEFT(B75,13)</f>
        <v>Dr: Acct 0458</v>
      </c>
      <c r="X75" s="398"/>
      <c r="Y75" s="263">
        <f>ROUND($J$75,-3)</f>
        <v>0</v>
      </c>
      <c r="Z75" s="292"/>
      <c r="AF75" s="261"/>
    </row>
    <row r="76" spans="1:32" ht="16.5" customHeight="1" x14ac:dyDescent="0.25">
      <c r="A76" s="88"/>
      <c r="B76" s="26" t="s">
        <v>1758</v>
      </c>
      <c r="C76" s="26"/>
      <c r="D76" s="178"/>
      <c r="E76" s="178"/>
      <c r="F76" s="179"/>
      <c r="G76" s="179"/>
      <c r="H76" s="180"/>
      <c r="I76" s="180"/>
      <c r="J76" s="181"/>
      <c r="K76" s="200"/>
      <c r="V76" s="246"/>
      <c r="W76" s="398" t="str">
        <f>LEFT(B76,13)</f>
        <v>Dr: Acct 0462</v>
      </c>
      <c r="X76" s="398"/>
      <c r="Y76" s="263">
        <f>ROUND($J$76,-3)</f>
        <v>0</v>
      </c>
      <c r="Z76" s="260"/>
      <c r="AF76" s="261"/>
    </row>
    <row r="77" spans="1:32" ht="16.5" customHeight="1" x14ac:dyDescent="0.25">
      <c r="A77" s="88"/>
      <c r="B77" s="26" t="str">
        <f>IF($F$7="Proprietary","Dr: Acct 0870 - SERVICES &amp; CHARGES (MG ADJ)",VLOOKUP($F$9,'Drop Down Menus'!$F$2:$H$10,3,FALSE))</f>
        <v>Dr: Acct 0XXX - FUNCTIONAL EXPENSE</v>
      </c>
      <c r="C77" s="26"/>
      <c r="D77" s="178"/>
      <c r="E77" s="178"/>
      <c r="F77" s="179"/>
      <c r="G77" s="179"/>
      <c r="H77" s="180"/>
      <c r="I77" s="180"/>
      <c r="J77" s="181"/>
      <c r="K77" s="200"/>
      <c r="V77" s="249"/>
      <c r="W77" s="398" t="str">
        <f>LEFT(B77,13)</f>
        <v>Dr: Acct 0XXX</v>
      </c>
      <c r="X77" s="398"/>
      <c r="Y77" s="263">
        <f>IF(SUM(ROUND($J$75,-3),ROUND($J$76,-3),ROUND($J$77,-3))=SUM(ROUND($K$78,-3),ROUND($K$79,-3),ROUND($K$80,-3)),ROUND($J$77,-3),SUM(ROUND($K$78,-3),ROUND($K$79,-3),ROUND($K$80,-3))-SUM(ROUND($J$75,-3),ROUND($J$76,-3)))</f>
        <v>0</v>
      </c>
      <c r="Z77" s="260"/>
      <c r="AF77" s="261"/>
    </row>
    <row r="78" spans="1:32" ht="16.5" customHeight="1" x14ac:dyDescent="0.25">
      <c r="A78" s="88"/>
      <c r="C78" s="26" t="s">
        <v>1761</v>
      </c>
      <c r="D78" s="47"/>
      <c r="E78" s="47"/>
      <c r="F78" s="48"/>
      <c r="G78" s="48"/>
      <c r="H78" s="49"/>
      <c r="I78" s="49"/>
      <c r="K78" s="181"/>
      <c r="P78" s="205"/>
      <c r="V78" s="249"/>
      <c r="W78" s="290"/>
      <c r="X78" s="265" t="str">
        <f>LEFT(C78,13)</f>
        <v>Cr: Acct 0446</v>
      </c>
      <c r="Y78" s="260"/>
      <c r="Z78" s="263">
        <f>ROUND($K$78,-3)</f>
        <v>0</v>
      </c>
      <c r="AF78" s="261"/>
    </row>
    <row r="79" spans="1:32" ht="16.5" customHeight="1" x14ac:dyDescent="0.25">
      <c r="A79" s="88"/>
      <c r="B79" s="52"/>
      <c r="C79" s="26" t="s">
        <v>1759</v>
      </c>
      <c r="D79" s="178"/>
      <c r="E79" s="178"/>
      <c r="F79" s="179"/>
      <c r="G79" s="179"/>
      <c r="H79" s="180"/>
      <c r="I79" s="180"/>
      <c r="J79" s="202"/>
      <c r="K79" s="181"/>
      <c r="V79" s="90"/>
      <c r="X79" s="265" t="str">
        <f>LEFT(C79,13)</f>
        <v>Cr: Acct 0448</v>
      </c>
      <c r="Z79" s="263">
        <f>ROUND($K$79,-3)</f>
        <v>0</v>
      </c>
      <c r="AF79" s="261"/>
    </row>
    <row r="80" spans="1:32" ht="16.5" customHeight="1" x14ac:dyDescent="0.25">
      <c r="A80" s="349"/>
      <c r="C80" s="26" t="s">
        <v>1760</v>
      </c>
      <c r="D80" s="178"/>
      <c r="E80" s="47"/>
      <c r="F80" s="48"/>
      <c r="G80" s="48"/>
      <c r="H80" s="49"/>
      <c r="I80" s="49"/>
      <c r="K80" s="181"/>
      <c r="V80" s="90"/>
      <c r="X80" s="265" t="str">
        <f>LEFT(C80,13)</f>
        <v>Cr: Acct 0450</v>
      </c>
      <c r="Z80" s="263">
        <f>ROUND($K$80,-3)</f>
        <v>0</v>
      </c>
      <c r="AF80" s="261"/>
    </row>
    <row r="81" spans="1:32" ht="16.5" customHeight="1" x14ac:dyDescent="0.2">
      <c r="A81" s="1"/>
      <c r="B81" s="350"/>
      <c r="J81" s="142">
        <f>SUM(J75:J77)</f>
        <v>0</v>
      </c>
      <c r="K81" s="142">
        <f>SUM(K78:K80)</f>
        <v>0</v>
      </c>
      <c r="L81" s="52" t="str">
        <f>IF(J81=K81,"&lt;- Debits and Credits equal each other.","&lt;- Debits and Credits do not equal each other.")</f>
        <v>&lt;- Debits and Credits equal each other.</v>
      </c>
      <c r="V81" s="90"/>
      <c r="Y81" s="317">
        <f>ROUND(SUM(Y75:Y77),2)</f>
        <v>0</v>
      </c>
      <c r="Z81" s="317">
        <f>ROUND(SUM(Z78:Z80),2)</f>
        <v>0</v>
      </c>
      <c r="AA81" s="394" t="str">
        <f>IF(Y81=Z81,"&lt;- Debits and Credits equal each other.","&lt;- Debits and Credits do not equal each other.")</f>
        <v>&lt;- Debits and Credits equal each other.</v>
      </c>
      <c r="AB81" s="394"/>
      <c r="AC81" s="394"/>
      <c r="AD81" s="394"/>
      <c r="AE81" s="394"/>
      <c r="AF81" s="261"/>
    </row>
    <row r="82" spans="1:32" ht="16.5" customHeight="1" x14ac:dyDescent="0.25">
      <c r="A82" s="1"/>
      <c r="B82" s="26"/>
      <c r="C82" s="43"/>
      <c r="D82" s="43"/>
      <c r="E82" s="43"/>
      <c r="F82" s="44"/>
      <c r="G82" s="44"/>
      <c r="H82" s="45"/>
      <c r="I82" s="45"/>
      <c r="V82" s="90"/>
      <c r="AF82" s="261"/>
    </row>
    <row r="83" spans="1:32" ht="16.5" customHeight="1" x14ac:dyDescent="0.25">
      <c r="A83" s="1"/>
      <c r="B83" s="26"/>
      <c r="C83" s="43"/>
      <c r="D83" s="43"/>
      <c r="E83" s="43"/>
      <c r="F83" s="44"/>
      <c r="G83" s="44"/>
      <c r="H83" s="45"/>
      <c r="I83" s="45"/>
      <c r="V83" s="90"/>
      <c r="AF83" s="261"/>
    </row>
    <row r="84" spans="1:32" ht="16.5" customHeight="1" x14ac:dyDescent="0.3">
      <c r="A84" s="157" t="s">
        <v>1763</v>
      </c>
      <c r="B84" s="158"/>
      <c r="C84" s="159"/>
      <c r="D84" s="159"/>
      <c r="E84" s="159"/>
      <c r="F84" s="160"/>
      <c r="G84" s="160"/>
      <c r="H84" s="161"/>
      <c r="I84" s="161"/>
      <c r="J84" s="160"/>
      <c r="K84" s="160"/>
      <c r="V84" s="395" t="str">
        <f>A84</f>
        <v>Financed Purchase Modifications (only if a significant modification occurred during the fiscal year)</v>
      </c>
      <c r="W84" s="396"/>
      <c r="X84" s="396"/>
      <c r="Y84" s="396"/>
      <c r="Z84" s="396"/>
      <c r="AA84" s="396"/>
      <c r="AB84" s="396"/>
      <c r="AC84" s="396"/>
      <c r="AD84" s="396"/>
      <c r="AE84" s="396"/>
      <c r="AF84" s="397"/>
    </row>
    <row r="85" spans="1:32" ht="16.5" customHeight="1" x14ac:dyDescent="0.3">
      <c r="A85" s="169">
        <v>9</v>
      </c>
      <c r="B85" s="199" t="s">
        <v>1764</v>
      </c>
      <c r="C85" s="176"/>
      <c r="D85" s="176"/>
      <c r="E85" s="176"/>
      <c r="F85" s="177"/>
      <c r="G85" s="177"/>
      <c r="H85" s="167"/>
      <c r="I85" s="167"/>
      <c r="J85" s="172"/>
      <c r="K85" s="172"/>
      <c r="V85" s="245">
        <f>A85</f>
        <v>9</v>
      </c>
      <c r="W85" s="270" t="str">
        <f>B85</f>
        <v>Record financed purchase modifications to decrease the asset's value.</v>
      </c>
      <c r="X85" s="272"/>
      <c r="Y85" s="173"/>
      <c r="Z85" s="173"/>
      <c r="AA85" s="173"/>
      <c r="AB85" s="173"/>
      <c r="AC85" s="173"/>
      <c r="AD85" s="173"/>
      <c r="AE85" s="173"/>
      <c r="AF85" s="277"/>
    </row>
    <row r="86" spans="1:32" ht="16.5" customHeight="1" x14ac:dyDescent="0.25">
      <c r="A86" s="88"/>
      <c r="B86" s="26" t="s">
        <v>1638</v>
      </c>
      <c r="C86" s="52"/>
      <c r="D86" s="178"/>
      <c r="E86" s="178"/>
      <c r="F86" s="179"/>
      <c r="G86" s="179"/>
      <c r="H86" s="180"/>
      <c r="I86" s="180"/>
      <c r="J86" s="181"/>
      <c r="K86" s="200"/>
      <c r="V86" s="259"/>
      <c r="W86" s="398" t="str">
        <f>LEFT(B86,13)</f>
        <v>Dr: Acct 0695</v>
      </c>
      <c r="X86" s="398"/>
      <c r="Y86" s="263">
        <f>ROUND($J$86,-3)</f>
        <v>0</v>
      </c>
      <c r="AF86" s="261"/>
    </row>
    <row r="87" spans="1:32" ht="16.5" customHeight="1" x14ac:dyDescent="0.25">
      <c r="A87" s="88"/>
      <c r="B87" s="26" t="s">
        <v>1757</v>
      </c>
      <c r="C87" s="26"/>
      <c r="D87" s="178"/>
      <c r="E87" s="178"/>
      <c r="F87" s="179"/>
      <c r="G87" s="179"/>
      <c r="H87" s="180"/>
      <c r="I87" s="180"/>
      <c r="J87" s="181"/>
      <c r="K87" s="200"/>
      <c r="V87" s="246"/>
      <c r="W87" s="398" t="str">
        <f>LEFT(B87,13)</f>
        <v>Dr: Acct 0458</v>
      </c>
      <c r="X87" s="398"/>
      <c r="Y87" s="263">
        <f>ROUND($J$87,-3)</f>
        <v>0</v>
      </c>
      <c r="AF87" s="261"/>
    </row>
    <row r="88" spans="1:32" ht="16.5" customHeight="1" x14ac:dyDescent="0.25">
      <c r="A88" s="88"/>
      <c r="B88" s="26" t="s">
        <v>1758</v>
      </c>
      <c r="C88" s="26"/>
      <c r="D88" s="178"/>
      <c r="E88" s="178"/>
      <c r="F88" s="179"/>
      <c r="G88" s="179"/>
      <c r="H88" s="180"/>
      <c r="I88" s="180"/>
      <c r="J88" s="181"/>
      <c r="K88" s="200"/>
      <c r="V88" s="90"/>
      <c r="W88" s="398" t="str">
        <f>LEFT(B88,13)</f>
        <v>Dr: Acct 0462</v>
      </c>
      <c r="X88" s="398"/>
      <c r="Y88" s="263">
        <f>ROUND($J$88,-3)</f>
        <v>0</v>
      </c>
      <c r="AF88" s="261"/>
    </row>
    <row r="89" spans="1:32" ht="16.5" customHeight="1" x14ac:dyDescent="0.25">
      <c r="A89" s="88"/>
      <c r="B89" s="26" t="str">
        <f>IF($F$7="Proprietary","Dr: Acct 0870 - SERVICES &amp; CHARGES (MG ADJ)",VLOOKUP($F$9,'Drop Down Menus'!$F$2:$H$10,3,FALSE))</f>
        <v>Dr: Acct 0XXX - FUNCTIONAL EXPENSE</v>
      </c>
      <c r="C89" s="26"/>
      <c r="D89" s="178"/>
      <c r="E89" s="178"/>
      <c r="F89" s="179"/>
      <c r="G89" s="179"/>
      <c r="H89" s="180"/>
      <c r="I89" s="180"/>
      <c r="J89" s="181"/>
      <c r="K89" s="200"/>
      <c r="V89" s="90"/>
      <c r="W89" s="398" t="str">
        <f>LEFT(B89,13)</f>
        <v>Dr: Acct 0XXX</v>
      </c>
      <c r="X89" s="398"/>
      <c r="Y89" s="263">
        <f>IF(SUM(ROUND($J$86,-3),ROUND($J$87,-3),ROUND($J$88,-3),ROUND($J$89,-3))=SUM(ROUND($K$90,-3),ROUND($K$91,-3),ROUND($K$92,-3),ROUND($K$93,-3)),ROUND($J$89,-3),IF(SUM(ROUND($J$86,-3),ROUND($J$87,-3),ROUND($J$88,-3),ROUND($J$89,-3))&gt;SUM(ROUND($K$90,-3),ROUND($K$91,-3),ROUND($K$92,-3),ROUND($K$93,-3)),ROUND($J$89,-3),SUM(ROUND($K$90,-3),ROUND($K$91,-3),ROUND($K$92,-3),ROUND($K$93,-3)-SUM(ROUND($J$86,-3),ROUND($J$87,-3),ROUND($J$88,-3)))))</f>
        <v>0</v>
      </c>
      <c r="AF89" s="261"/>
    </row>
    <row r="90" spans="1:32" ht="16.5" customHeight="1" x14ac:dyDescent="0.25">
      <c r="A90" s="88"/>
      <c r="C90" s="26" t="s">
        <v>1761</v>
      </c>
      <c r="D90" s="43"/>
      <c r="E90" s="43"/>
      <c r="F90" s="44"/>
      <c r="G90" s="44"/>
      <c r="H90" s="45"/>
      <c r="I90" s="45"/>
      <c r="J90" s="46"/>
      <c r="K90" s="181"/>
      <c r="V90" s="90"/>
      <c r="W90" s="264"/>
      <c r="X90" s="265" t="str">
        <f>LEFT(C90,13)</f>
        <v>Cr: Acct 0446</v>
      </c>
      <c r="Y90" s="260"/>
      <c r="Z90" s="263">
        <f>ROUND($K$90,-3)</f>
        <v>0</v>
      </c>
      <c r="AF90" s="261"/>
    </row>
    <row r="91" spans="1:32" ht="16.5" customHeight="1" x14ac:dyDescent="0.25">
      <c r="A91" s="349"/>
      <c r="B91" s="350"/>
      <c r="C91" s="26" t="s">
        <v>1759</v>
      </c>
      <c r="D91" s="178"/>
      <c r="E91" s="47"/>
      <c r="F91" s="48"/>
      <c r="G91" s="48"/>
      <c r="H91" s="49"/>
      <c r="I91" s="49"/>
      <c r="K91" s="181"/>
      <c r="V91" s="90"/>
      <c r="X91" s="265" t="str">
        <f>LEFT(C91,13)</f>
        <v>Cr: Acct 0448</v>
      </c>
      <c r="Y91" s="260"/>
      <c r="Z91" s="263">
        <f>ROUND($K$91,-3)</f>
        <v>0</v>
      </c>
      <c r="AF91" s="261"/>
    </row>
    <row r="92" spans="1:32" ht="16.5" customHeight="1" x14ac:dyDescent="0.25">
      <c r="A92" s="1"/>
      <c r="B92" s="26"/>
      <c r="C92" s="26" t="s">
        <v>1760</v>
      </c>
      <c r="D92" s="47"/>
      <c r="E92" s="47"/>
      <c r="F92" s="48"/>
      <c r="G92" s="48"/>
      <c r="H92" s="49"/>
      <c r="I92" s="49"/>
      <c r="J92" s="142"/>
      <c r="K92" s="181"/>
      <c r="V92" s="90"/>
      <c r="X92" s="265" t="str">
        <f>LEFT(C92,13)</f>
        <v>Cr: Acct 0450</v>
      </c>
      <c r="Y92" s="260"/>
      <c r="Z92" s="263">
        <f>ROUND($K$92,-3)</f>
        <v>0</v>
      </c>
      <c r="AF92" s="261"/>
    </row>
    <row r="93" spans="1:32" ht="16.5" customHeight="1" x14ac:dyDescent="0.25">
      <c r="A93" s="1"/>
      <c r="B93" s="26"/>
      <c r="C93" s="26" t="str">
        <f>IF($F$7="Proprietary","Cr: Acct 0870 - SERVICES &amp; CHARGES (MG ADJ)",VLOOKUP($F$9,'Drop Down Menus'!$F$2:$G$10,2,FALSE))</f>
        <v>Cr: Acct 0XXX - FUNCTIONAL EXPENSE</v>
      </c>
      <c r="D93" s="43"/>
      <c r="E93" s="43"/>
      <c r="F93" s="44"/>
      <c r="G93" s="44"/>
      <c r="H93" s="45"/>
      <c r="I93" s="45"/>
      <c r="J93" s="46"/>
      <c r="K93" s="181"/>
      <c r="L93" s="21"/>
      <c r="V93" s="90"/>
      <c r="X93" s="265" t="str">
        <f>LEFT(C93,13)</f>
        <v>Cr: Acct 0XXX</v>
      </c>
      <c r="Y93" s="260"/>
      <c r="Z93" s="263">
        <f>IF(SUM(ROUND($J$86,-3),ROUND($J$87,-3),ROUND($J$88,-3),ROUND($J$89,-3))=SUM(ROUND($K$90,-3),ROUND($K$91,-3),ROUND($K$92,-3),ROUND($K$93,-3)),ROUND($K$93,-3),IF(SUM(ROUND($K$90,-3),ROUND($K$91,-3),ROUND($K$92,-3),ROUND($K$93,-3))&gt;SUM(ROUND($J$86,-3),ROUND($J$87,-3),ROUND($J$88,-3),ROUND($J$89,-3)),ROUND($K$93,-3),SUM(ROUND($J$86,-3),ROUND($J$87,-3),ROUND($J$88,-3),ROUND($J$89,-3)-SUM(ROUND($K$90,-3),ROUND($K$91,-3),ROUND($K$92,-3)))))</f>
        <v>0</v>
      </c>
      <c r="AF93" s="261"/>
    </row>
    <row r="94" spans="1:32" ht="16.5" customHeight="1" x14ac:dyDescent="0.25">
      <c r="A94" s="1"/>
      <c r="B94" s="26"/>
      <c r="C94" s="43"/>
      <c r="D94" s="43"/>
      <c r="E94" s="43"/>
      <c r="F94" s="44"/>
      <c r="G94" s="44"/>
      <c r="H94" s="45"/>
      <c r="I94" s="45"/>
      <c r="J94" s="142">
        <f>SUM(J86:J89)</f>
        <v>0</v>
      </c>
      <c r="K94" s="142">
        <f>SUM(K90:K93)</f>
        <v>0</v>
      </c>
      <c r="L94" s="52" t="str">
        <f>IF(J94=K94,"&lt;- Debits and Credits equal each other.","&lt;- Debits and Credits do not equal each other.")</f>
        <v>&lt;- Debits and Credits equal each other.</v>
      </c>
      <c r="V94" s="90"/>
      <c r="X94" s="265" t="str">
        <f>LEFT(C94,13)</f>
        <v/>
      </c>
      <c r="Y94" s="317">
        <f>ROUND(SUM(Y86:Y89),2)</f>
        <v>0</v>
      </c>
      <c r="Z94" s="317">
        <f>ROUND(SUM(Z90:Z93),2)</f>
        <v>0</v>
      </c>
      <c r="AA94" s="394" t="str">
        <f>IF(Y94=Z94,"&lt;- Debits and Credits equal each other.","&lt;- Debits and Credits do not equal each other.")</f>
        <v>&lt;- Debits and Credits equal each other.</v>
      </c>
      <c r="AB94" s="394"/>
      <c r="AC94" s="394"/>
      <c r="AD94" s="394"/>
      <c r="AE94" s="394"/>
      <c r="AF94" s="261"/>
    </row>
    <row r="95" spans="1:32" ht="16.5" customHeight="1" x14ac:dyDescent="0.2">
      <c r="A95" s="1"/>
      <c r="B95" s="26"/>
      <c r="V95" s="90"/>
      <c r="AF95" s="261"/>
    </row>
    <row r="96" spans="1:32" ht="16.5" customHeight="1" x14ac:dyDescent="0.3">
      <c r="A96" s="169">
        <v>10</v>
      </c>
      <c r="B96" s="199" t="s">
        <v>1765</v>
      </c>
      <c r="C96" s="43"/>
      <c r="D96" s="43"/>
      <c r="E96" s="43"/>
      <c r="F96" s="44"/>
      <c r="G96" s="44"/>
      <c r="H96" s="45"/>
      <c r="I96" s="45"/>
      <c r="J96" s="46"/>
      <c r="K96" s="46"/>
      <c r="L96" s="21"/>
      <c r="V96" s="245">
        <f>A96</f>
        <v>10</v>
      </c>
      <c r="W96" s="270" t="str">
        <f>B96</f>
        <v>Record financed purchase modifications to increase the asset's value.</v>
      </c>
      <c r="X96" s="173"/>
      <c r="Y96" s="173"/>
      <c r="Z96" s="173"/>
      <c r="AA96" s="173"/>
      <c r="AB96" s="173"/>
      <c r="AF96" s="261"/>
    </row>
    <row r="97" spans="1:32" ht="16.5" customHeight="1" x14ac:dyDescent="0.25">
      <c r="A97" s="1"/>
      <c r="B97" s="26" t="s">
        <v>191</v>
      </c>
      <c r="C97" s="178"/>
      <c r="D97" s="43"/>
      <c r="E97" s="43"/>
      <c r="F97" s="44"/>
      <c r="G97" s="44"/>
      <c r="H97" s="45"/>
      <c r="I97" s="45"/>
      <c r="J97" s="181"/>
      <c r="K97" s="46"/>
      <c r="L97" s="21"/>
      <c r="V97" s="90"/>
      <c r="W97" s="398" t="str">
        <f>LEFT(B97,13)</f>
        <v>Dr: Acct 0446</v>
      </c>
      <c r="X97" s="398"/>
      <c r="Y97" s="263">
        <f>ROUND($J$97,-3)</f>
        <v>0</v>
      </c>
      <c r="AF97" s="261"/>
    </row>
    <row r="98" spans="1:32" ht="16.5" customHeight="1" x14ac:dyDescent="0.25">
      <c r="A98" s="1"/>
      <c r="B98" s="26" t="s">
        <v>192</v>
      </c>
      <c r="C98" s="178"/>
      <c r="D98" s="43"/>
      <c r="E98" s="43"/>
      <c r="F98" s="44"/>
      <c r="G98" s="44"/>
      <c r="H98" s="45"/>
      <c r="I98" s="45"/>
      <c r="J98" s="181"/>
      <c r="K98" s="46"/>
      <c r="L98" s="21"/>
      <c r="V98" s="90"/>
      <c r="W98" s="398" t="str">
        <f>LEFT(B98,13)</f>
        <v>Dr: Acct 0448</v>
      </c>
      <c r="X98" s="398"/>
      <c r="Y98" s="263">
        <f>ROUND($J$98,-3)</f>
        <v>0</v>
      </c>
      <c r="AF98" s="261"/>
    </row>
    <row r="99" spans="1:32" ht="16.5" customHeight="1" x14ac:dyDescent="0.25">
      <c r="A99" s="1"/>
      <c r="B99" s="26" t="s">
        <v>193</v>
      </c>
      <c r="C99" s="178"/>
      <c r="D99" s="43"/>
      <c r="E99" s="43"/>
      <c r="F99" s="44"/>
      <c r="G99" s="44"/>
      <c r="H99" s="45"/>
      <c r="I99" s="45"/>
      <c r="J99" s="181"/>
      <c r="K99" s="46"/>
      <c r="L99" s="21"/>
      <c r="V99" s="90"/>
      <c r="W99" s="398" t="str">
        <f>LEFT(B99,13)</f>
        <v>Dr: Acct 0450</v>
      </c>
      <c r="X99" s="398"/>
      <c r="Y99" s="263">
        <f>ROUND($J$99,-3)</f>
        <v>0</v>
      </c>
      <c r="AF99" s="261"/>
    </row>
    <row r="100" spans="1:32" ht="16.5" customHeight="1" x14ac:dyDescent="0.25">
      <c r="A100" s="1"/>
      <c r="B100" s="301" t="str">
        <f>IF($F$7="Proprietary","Dr: Acct 0870 - SERVICES &amp; CHARGES (MG ADJ)",VLOOKUP($F$9,'Drop Down Menus'!$F$2:$H$10,3,FALSE))</f>
        <v>Dr: Acct 0XXX - FUNCTIONAL EXPENSE</v>
      </c>
      <c r="C100" s="178"/>
      <c r="D100" s="43"/>
      <c r="E100" s="43"/>
      <c r="F100" s="44"/>
      <c r="G100" s="44"/>
      <c r="H100" s="45"/>
      <c r="I100" s="45"/>
      <c r="J100" s="181"/>
      <c r="K100" s="46"/>
      <c r="L100" s="21"/>
      <c r="V100" s="90"/>
      <c r="W100" s="398" t="str">
        <f>LEFT(B100,13)</f>
        <v>Dr: Acct 0XXX</v>
      </c>
      <c r="X100" s="398"/>
      <c r="Y100" s="263">
        <f>IF(SUM(ROUND($J$97,-3),ROUND($J$98,-3),ROUND($J$99,-3),ROUND($J$100,-3))=SUM(ROUND($K$101,-3),ROUND($K$102,-3),ROUND($K$103,-3),ROUND($K$104,-3)),ROUND($J$100,-3),IF(SUM(ROUND($J$97,-3),ROUND($J$98,-3),ROUND($J$99,-3),ROUND($J$100,-3))&gt;SUM(ROUND($K$101,-3),ROUND($K$102,-3),ROUND($K$103,-3),ROUND($K$104,-3)),ROUND($J$100,-3),SUM(ROUND($K$101,-3),ROUND($K$102,-3),ROUND($K$103,-3),ROUND($K$104,-3)-SUM(ROUND($J$97,-3),ROUND($J$98,-3),ROUND($J$99,-3)))))</f>
        <v>0</v>
      </c>
      <c r="AF100" s="261"/>
    </row>
    <row r="101" spans="1:32" ht="16.5" customHeight="1" x14ac:dyDescent="0.25">
      <c r="A101" s="1"/>
      <c r="B101" s="26"/>
      <c r="C101" s="26" t="s">
        <v>188</v>
      </c>
      <c r="D101" s="43"/>
      <c r="E101" s="43"/>
      <c r="F101" s="44"/>
      <c r="G101" s="44"/>
      <c r="H101" s="45"/>
      <c r="I101" s="45"/>
      <c r="J101" s="46"/>
      <c r="K101" s="181"/>
      <c r="L101" s="21"/>
      <c r="V101" s="90"/>
      <c r="X101" s="265" t="str">
        <f>LEFT(C101,13)</f>
        <v>Cr: Acct 0695</v>
      </c>
      <c r="Y101" s="260"/>
      <c r="Z101" s="263">
        <f>ROUND($K$101,-3)</f>
        <v>0</v>
      </c>
      <c r="AF101" s="261"/>
    </row>
    <row r="102" spans="1:32" ht="16.5" customHeight="1" x14ac:dyDescent="0.25">
      <c r="A102" s="1"/>
      <c r="B102" s="26"/>
      <c r="C102" s="301" t="s">
        <v>187</v>
      </c>
      <c r="G102" s="44"/>
      <c r="H102" s="45"/>
      <c r="I102" s="45"/>
      <c r="K102" s="181"/>
      <c r="V102" s="90"/>
      <c r="X102" s="265" t="str">
        <f>LEFT(C103,13)</f>
        <v>Cr: Acct 0462</v>
      </c>
      <c r="Y102" s="317"/>
      <c r="Z102" s="263">
        <f>ROUND($K$102,-3)</f>
        <v>0</v>
      </c>
      <c r="AF102" s="261"/>
    </row>
    <row r="103" spans="1:32" ht="16.5" customHeight="1" x14ac:dyDescent="0.25">
      <c r="A103" s="1"/>
      <c r="B103" s="26"/>
      <c r="C103" s="301" t="s">
        <v>190</v>
      </c>
      <c r="D103" s="301"/>
      <c r="E103" s="301"/>
      <c r="F103" s="44"/>
      <c r="G103" s="44"/>
      <c r="H103" s="45"/>
      <c r="I103" s="45"/>
      <c r="J103" s="46"/>
      <c r="K103" s="181"/>
      <c r="L103" s="21"/>
      <c r="V103" s="90"/>
      <c r="X103" s="265" t="str">
        <f>LEFT(C102,13)</f>
        <v>Cr: Acct 0458</v>
      </c>
      <c r="Z103" s="263">
        <f>ROUND($K$103,-3)</f>
        <v>0</v>
      </c>
      <c r="AF103" s="261"/>
    </row>
    <row r="104" spans="1:32" ht="15.75" x14ac:dyDescent="0.25">
      <c r="C104" s="301" t="str">
        <f>IF($F$7="Proprietary","Cr: Acct 0870 - SERVICES &amp; CHARGES (MG ADJ)",VLOOKUP($F$9,'Drop Down Menus'!$F$2:$G$10,2,FALSE))</f>
        <v>Cr: Acct 0XXX - FUNCTIONAL EXPENSE</v>
      </c>
      <c r="D104" s="353"/>
      <c r="E104" s="353"/>
      <c r="H104" s="37"/>
      <c r="K104" s="181"/>
      <c r="V104" s="90"/>
      <c r="X104" s="265" t="str">
        <f>LEFT(C104,13)</f>
        <v>Cr: Acct 0XXX</v>
      </c>
      <c r="Z104" s="263">
        <f>IF(SUM(ROUND($J$97,-3),ROUND($J$98,-3),ROUND($J$99,-3),ROUND($J$100,-3))=SUM(ROUND($K$101,-3),ROUND($K$102,-3),ROUND($K$103,-3),ROUND($K$104,-3)),ROUND($K$104,-3),IF(SUM(ROUND($K$101,-3),ROUND($K$102,-3),ROUND($K$103,-3),ROUND($K$104,-3))&gt;SUM(ROUND($J$97,-3),ROUND($J$98,-3),ROUND($J$99,-3),ROUND($J$100,-3)),ROUND($K$104,-3),SUM(ROUND($J$97,-3),ROUND($J$98,-3),ROUND($J$99,-3),ROUND($J$100,-3)-SUM(ROUND($K$101,-3),ROUND($K$102,-3),ROUND($K$103,-3)))))</f>
        <v>0</v>
      </c>
      <c r="AF104" s="261"/>
    </row>
    <row r="105" spans="1:32" x14ac:dyDescent="0.2">
      <c r="C105" s="26"/>
      <c r="H105" s="37"/>
      <c r="J105" s="142">
        <f>SUM(J97:J100)</f>
        <v>0</v>
      </c>
      <c r="K105" s="142">
        <f>SUM(K101:K104)</f>
        <v>0</v>
      </c>
      <c r="L105" s="52" t="str">
        <f>IF(J105=K105,"&lt;- Debits and Credits equal each other.","&lt;- Debits and Credits do not equal each other.")</f>
        <v>&lt;- Debits and Credits equal each other.</v>
      </c>
      <c r="V105" s="90"/>
      <c r="Y105" s="317">
        <f>ROUND(SUM(Y97:Y100),2)</f>
        <v>0</v>
      </c>
      <c r="Z105" s="317">
        <f>ROUND(SUM(Z101:Z104),2)</f>
        <v>0</v>
      </c>
      <c r="AA105" s="394" t="str">
        <f>IF(Y105=Z105,"&lt;- Debits and Credits equal each other.","&lt;- Debits and Credits do not equal each other.")</f>
        <v>&lt;- Debits and Credits equal each other.</v>
      </c>
      <c r="AB105" s="394"/>
      <c r="AC105" s="394"/>
      <c r="AD105" s="394"/>
      <c r="AE105" s="394"/>
      <c r="AF105" s="261"/>
    </row>
    <row r="106" spans="1:32" ht="18" customHeight="1" x14ac:dyDescent="0.25">
      <c r="B106" s="447" t="s">
        <v>1890</v>
      </c>
      <c r="C106" s="447"/>
      <c r="D106" s="447"/>
      <c r="E106" s="447"/>
      <c r="F106" s="447"/>
      <c r="G106" s="447"/>
      <c r="H106" s="447"/>
      <c r="I106" s="447"/>
      <c r="V106" s="90"/>
      <c r="AF106" s="261"/>
    </row>
    <row r="107" spans="1:32" ht="16.5" customHeight="1" x14ac:dyDescent="0.25">
      <c r="B107" s="447"/>
      <c r="C107" s="447"/>
      <c r="D107" s="447"/>
      <c r="E107" s="447"/>
      <c r="F107" s="447"/>
      <c r="G107" s="447"/>
      <c r="H107" s="447"/>
      <c r="I107" s="447"/>
      <c r="V107" s="90"/>
      <c r="AF107" s="261"/>
    </row>
    <row r="108" spans="1:32" ht="16.5" customHeight="1" x14ac:dyDescent="0.25">
      <c r="H108" s="37"/>
      <c r="V108" s="90"/>
      <c r="AF108" s="261"/>
    </row>
    <row r="109" spans="1:32" ht="20.25" x14ac:dyDescent="0.3">
      <c r="D109" s="211" t="s">
        <v>1701</v>
      </c>
      <c r="E109" s="212"/>
      <c r="F109" s="213"/>
      <c r="G109" s="213"/>
      <c r="H109" s="213"/>
      <c r="I109" s="214"/>
      <c r="J109" s="214"/>
      <c r="K109" s="215"/>
      <c r="V109" s="90"/>
      <c r="Y109" s="280" t="s">
        <v>1790</v>
      </c>
      <c r="Z109" s="278"/>
      <c r="AA109" s="278"/>
      <c r="AB109" s="279"/>
      <c r="AF109" s="261"/>
    </row>
    <row r="110" spans="1:32" ht="16.5" customHeight="1" x14ac:dyDescent="0.25">
      <c r="H110" s="37"/>
      <c r="K110" s="221" t="s">
        <v>1700</v>
      </c>
      <c r="V110" s="90"/>
      <c r="Z110" s="221" t="str">
        <f>K110</f>
        <v>Debit (Credit)</v>
      </c>
      <c r="AF110" s="261"/>
    </row>
    <row r="111" spans="1:32" ht="16.5" customHeight="1" x14ac:dyDescent="0.25">
      <c r="D111" s="178" t="s">
        <v>1706</v>
      </c>
      <c r="H111" s="37"/>
      <c r="K111" s="220">
        <f>J15+J37-K78-K90+J97</f>
        <v>0</v>
      </c>
      <c r="L111" s="37" t="str">
        <f>IF($K$111&gt;=0,"","&lt;- should be a positive amount")</f>
        <v/>
      </c>
      <c r="V111" s="90"/>
      <c r="Y111" s="295" t="str">
        <f>LEFT(D111,10)</f>
        <v xml:space="preserve">Acct 0446 </v>
      </c>
      <c r="Z111" s="220">
        <f>Y15+Y37-Z78-Z90+Y97</f>
        <v>0</v>
      </c>
      <c r="AA111" s="380" t="str">
        <f>IF($Z$111&gt;=0,"","&lt;- please check, should be a positive amount")</f>
        <v/>
      </c>
      <c r="AB111" s="355"/>
      <c r="AC111" s="355"/>
      <c r="AD111" s="355"/>
      <c r="AE111" s="355"/>
      <c r="AF111" s="261"/>
    </row>
    <row r="112" spans="1:32" ht="16.5" customHeight="1" x14ac:dyDescent="0.25">
      <c r="D112" s="178" t="s">
        <v>1707</v>
      </c>
      <c r="H112" s="37"/>
      <c r="K112" s="220">
        <f>J16+J38-K79-K91+J98</f>
        <v>0</v>
      </c>
      <c r="L112" s="37" t="str">
        <f>IF($K$112&gt;=0,"","&lt;- should be a positive amount")</f>
        <v/>
      </c>
      <c r="V112" s="90"/>
      <c r="Y112" s="295" t="str">
        <f t="shared" ref="Y112:Y118" si="2">LEFT(D112,10)</f>
        <v xml:space="preserve">Acct 0448 </v>
      </c>
      <c r="Z112" s="220">
        <f>Y16+Y38-Z79-Z91+Y98</f>
        <v>0</v>
      </c>
      <c r="AA112" s="380" t="str">
        <f>IF($Z$112&gt;=0,"","&lt;- please check, should be a positive amount")</f>
        <v/>
      </c>
      <c r="AB112" s="355"/>
      <c r="AC112" s="355"/>
      <c r="AD112" s="355"/>
      <c r="AE112" s="355"/>
      <c r="AF112" s="261"/>
    </row>
    <row r="113" spans="4:32" ht="16.5" customHeight="1" x14ac:dyDescent="0.25">
      <c r="D113" s="178" t="s">
        <v>1708</v>
      </c>
      <c r="H113" s="37"/>
      <c r="K113" s="220">
        <f>J17+J39-K80-K92+J99</f>
        <v>0</v>
      </c>
      <c r="L113" s="37" t="str">
        <f>IF($K$113&gt;=0,"","&lt;- should be a positive amount")</f>
        <v/>
      </c>
      <c r="V113" s="90"/>
      <c r="Y113" s="295" t="str">
        <f t="shared" si="2"/>
        <v xml:space="preserve">Acct 0450 </v>
      </c>
      <c r="Z113" s="220">
        <f>Y17+Y39-Z80-Z92+Y99</f>
        <v>0</v>
      </c>
      <c r="AA113" s="380" t="str">
        <f>IF($Z$113&gt;=0,"","&lt;- please check, should be a positive amount")</f>
        <v/>
      </c>
      <c r="AB113" s="355"/>
      <c r="AC113" s="355"/>
      <c r="AD113" s="355"/>
      <c r="AE113" s="355"/>
      <c r="AF113" s="261"/>
    </row>
    <row r="114" spans="4:32" ht="16.5" customHeight="1" x14ac:dyDescent="0.25">
      <c r="D114" s="178" t="s">
        <v>1709</v>
      </c>
      <c r="H114" s="37"/>
      <c r="K114" s="220">
        <f>-K21-K52+J76+J88-K103</f>
        <v>0</v>
      </c>
      <c r="L114" s="37" t="str">
        <f>IF($K$114&gt;0,"&lt;- should be a negative amount",IF($K$114=0,"",IF(-$K$113&lt;=$K$114,"","&lt;- accumulated amortization total cannot be more than the equipment")))</f>
        <v/>
      </c>
      <c r="V114" s="90"/>
      <c r="Y114" s="295" t="str">
        <f t="shared" si="2"/>
        <v xml:space="preserve">Acct 0462 </v>
      </c>
      <c r="Z114" s="220">
        <f>-Z21-Z52+Y76+Y88-Z103</f>
        <v>0</v>
      </c>
      <c r="AA114" s="380" t="str">
        <f>IF($Z$114&gt;0,"&lt;- please check, should be a negative amount",IF(-$Z$113&lt;=$Z$114,"","&lt;- please check, cannot exceed the equip (Acct 0450)"))</f>
        <v/>
      </c>
      <c r="AB114" s="355"/>
      <c r="AC114" s="355"/>
      <c r="AD114" s="355"/>
      <c r="AE114" s="355"/>
      <c r="AF114" s="261"/>
    </row>
    <row r="115" spans="4:32" ht="15.75" x14ac:dyDescent="0.25">
      <c r="D115" s="178" t="s">
        <v>1710</v>
      </c>
      <c r="H115" s="37"/>
      <c r="K115" s="220">
        <f>-K22-K51+J75+J87-K102</f>
        <v>0</v>
      </c>
      <c r="L115" s="37" t="str">
        <f>IF($K$115&gt;0,"&lt;- should be a negative amount",IF($K$115=0,"",IF(-$K$112&lt;=$K$115,"","&lt;- accumulated amortization total cannot be more than the buildings/building improvements")))</f>
        <v/>
      </c>
      <c r="V115" s="90"/>
      <c r="Y115" s="295" t="str">
        <f t="shared" si="2"/>
        <v xml:space="preserve">Acct 0458 </v>
      </c>
      <c r="Z115" s="220">
        <f>-Z22-Z51+Y75+Y87-Z102</f>
        <v>0</v>
      </c>
      <c r="AA115" s="380" t="str">
        <f>IF($Z$115&gt;0,"&lt;- please check, should be a negative amount",IF(-$Z$112&lt;=$Z$115,"","&lt;- please check, cannot exceed the blgs/blg improv (Acct 0448)"))</f>
        <v/>
      </c>
      <c r="AB115" s="355"/>
      <c r="AC115" s="355"/>
      <c r="AD115" s="355"/>
      <c r="AE115" s="355"/>
      <c r="AF115" s="261"/>
    </row>
    <row r="116" spans="4:32" ht="16.5" customHeight="1" x14ac:dyDescent="0.25">
      <c r="D116" s="178" t="s">
        <v>1711</v>
      </c>
      <c r="H116" s="37"/>
      <c r="K116" s="220">
        <f>-K23-K45+J62+J67+J86-K101</f>
        <v>0</v>
      </c>
      <c r="L116" s="37" t="str">
        <f>IF($K$116&lt;=0,"","&lt;- should be a negative amount")</f>
        <v/>
      </c>
      <c r="V116" s="90"/>
      <c r="Y116" s="295" t="str">
        <f t="shared" si="2"/>
        <v xml:space="preserve">Acct 0695 </v>
      </c>
      <c r="Z116" s="220">
        <f>-Z23-Z45+Y62+Y67+Y86-Z101</f>
        <v>0</v>
      </c>
      <c r="AA116" s="380" t="str">
        <f>IF($Z$116&lt;=0,"","&lt;- please check, should be a negative amount")</f>
        <v/>
      </c>
      <c r="AB116" s="355"/>
      <c r="AC116" s="355"/>
      <c r="AD116" s="355"/>
      <c r="AE116" s="355"/>
      <c r="AF116" s="261"/>
    </row>
    <row r="117" spans="4:32" ht="16.5" customHeight="1" x14ac:dyDescent="0.25">
      <c r="D117" s="178" t="s">
        <v>1742</v>
      </c>
      <c r="H117" s="37"/>
      <c r="K117" s="220">
        <f>-K68</f>
        <v>0</v>
      </c>
      <c r="L117" s="37" t="str">
        <f>IF($K$117&lt;=0,"","&lt;- should be a negative amount")</f>
        <v/>
      </c>
      <c r="V117" s="90"/>
      <c r="Y117" s="295" t="str">
        <f t="shared" si="2"/>
        <v xml:space="preserve">Acct 0677 </v>
      </c>
      <c r="Z117" s="220">
        <f>-Z68</f>
        <v>0</v>
      </c>
      <c r="AA117" s="380" t="str">
        <f>IF($Z$117&lt;=0,"","&lt;- please check, should be a negative amount")</f>
        <v/>
      </c>
      <c r="AB117" s="355"/>
      <c r="AC117" s="355"/>
      <c r="AD117" s="355"/>
      <c r="AE117" s="355"/>
      <c r="AF117" s="261"/>
    </row>
    <row r="118" spans="4:32" ht="16.5" customHeight="1" x14ac:dyDescent="0.25">
      <c r="D118" s="178"/>
      <c r="H118" s="37"/>
      <c r="V118" s="90"/>
      <c r="Y118" s="295" t="str">
        <f t="shared" si="2"/>
        <v/>
      </c>
      <c r="AF118" s="261"/>
    </row>
    <row r="119" spans="4:32" ht="16.5" customHeight="1" x14ac:dyDescent="0.25">
      <c r="H119" s="37"/>
      <c r="V119" s="90"/>
      <c r="AF119" s="261"/>
    </row>
    <row r="120" spans="4:32" ht="16.5" customHeight="1" x14ac:dyDescent="0.25">
      <c r="V120" s="296"/>
      <c r="W120" s="297"/>
      <c r="X120" s="297"/>
      <c r="Y120" s="297"/>
      <c r="Z120" s="297"/>
      <c r="AA120" s="297"/>
      <c r="AB120" s="297"/>
      <c r="AC120" s="297"/>
      <c r="AD120" s="297"/>
      <c r="AE120" s="297"/>
      <c r="AF120" s="298"/>
    </row>
    <row r="121" spans="4:32" ht="16.5" customHeight="1" x14ac:dyDescent="0.25"/>
    <row r="122" spans="4:32" ht="16.5" customHeight="1" x14ac:dyDescent="0.25"/>
    <row r="123" spans="4:32" ht="16.5" customHeight="1" x14ac:dyDescent="0.25">
      <c r="D123" s="301"/>
      <c r="E123" s="301"/>
      <c r="F123" s="44"/>
      <c r="H123" s="37"/>
    </row>
    <row r="124" spans="4:32" ht="16.5" customHeight="1" x14ac:dyDescent="0.25">
      <c r="H124" s="37"/>
    </row>
    <row r="125" spans="4:32" x14ac:dyDescent="0.25">
      <c r="H125" s="37"/>
    </row>
    <row r="126" spans="4:32" ht="16.5" customHeight="1" x14ac:dyDescent="0.25">
      <c r="H126" s="37"/>
    </row>
    <row r="127" spans="4:32" ht="16.5" customHeight="1" x14ac:dyDescent="0.25">
      <c r="H127" s="37"/>
    </row>
    <row r="128" spans="4:32" ht="16.5" customHeight="1" x14ac:dyDescent="0.25">
      <c r="H128" s="37"/>
    </row>
    <row r="129" spans="8:8" ht="16.5" customHeight="1" x14ac:dyDescent="0.25">
      <c r="H129" s="37"/>
    </row>
    <row r="130" spans="8:8" ht="16.5" customHeight="1" x14ac:dyDescent="0.25">
      <c r="H130" s="37"/>
    </row>
    <row r="131" spans="8:8" ht="16.5" customHeight="1" x14ac:dyDescent="0.25">
      <c r="H131" s="37"/>
    </row>
    <row r="132" spans="8:8" ht="16.5" customHeight="1" x14ac:dyDescent="0.25">
      <c r="H132" s="37"/>
    </row>
    <row r="133" spans="8:8" ht="16.5" customHeight="1" x14ac:dyDescent="0.25">
      <c r="H133" s="37"/>
    </row>
    <row r="134" spans="8:8" ht="16.5" customHeight="1" x14ac:dyDescent="0.25">
      <c r="H134" s="37"/>
    </row>
    <row r="135" spans="8:8" ht="16.5" customHeight="1" x14ac:dyDescent="0.25">
      <c r="H135" s="37"/>
    </row>
    <row r="136" spans="8:8" ht="16.5" customHeight="1" x14ac:dyDescent="0.25">
      <c r="H136" s="37"/>
    </row>
    <row r="137" spans="8:8" ht="16.5" customHeight="1" x14ac:dyDescent="0.25">
      <c r="H137" s="37"/>
    </row>
    <row r="138" spans="8:8" ht="16.5" customHeight="1" x14ac:dyDescent="0.25">
      <c r="H138" s="37"/>
    </row>
    <row r="139" spans="8:8" ht="16.5" customHeight="1" x14ac:dyDescent="0.25">
      <c r="H139" s="37"/>
    </row>
    <row r="140" spans="8:8" ht="16.5" customHeight="1" x14ac:dyDescent="0.25">
      <c r="H140" s="37"/>
    </row>
    <row r="141" spans="8:8" ht="16.5" customHeight="1" x14ac:dyDescent="0.25">
      <c r="H141" s="37"/>
    </row>
    <row r="142" spans="8:8" x14ac:dyDescent="0.25">
      <c r="H142" s="37"/>
    </row>
    <row r="143" spans="8:8" ht="16.5" customHeight="1" x14ac:dyDescent="0.25">
      <c r="H143" s="37"/>
    </row>
    <row r="144" spans="8:8" ht="16.5" customHeight="1" x14ac:dyDescent="0.25">
      <c r="H144" s="37"/>
    </row>
    <row r="145" spans="8:8" ht="16.5" customHeight="1" x14ac:dyDescent="0.25">
      <c r="H145" s="37"/>
    </row>
    <row r="146" spans="8:8" ht="16.5" customHeight="1" x14ac:dyDescent="0.25">
      <c r="H146" s="37"/>
    </row>
    <row r="147" spans="8:8" ht="16.5" customHeight="1" x14ac:dyDescent="0.25">
      <c r="H147" s="37"/>
    </row>
    <row r="148" spans="8:8" s="52" customFormat="1" ht="16.5" customHeight="1" x14ac:dyDescent="0.25"/>
    <row r="149" spans="8:8" ht="16.5" customHeight="1" x14ac:dyDescent="0.25">
      <c r="H149" s="37"/>
    </row>
    <row r="150" spans="8:8" ht="16.5" customHeight="1" x14ac:dyDescent="0.25">
      <c r="H150" s="37"/>
    </row>
    <row r="151" spans="8:8" ht="32.25" customHeight="1" x14ac:dyDescent="0.25">
      <c r="H151" s="37"/>
    </row>
    <row r="152" spans="8:8" ht="16.5" customHeight="1" x14ac:dyDescent="0.25">
      <c r="H152" s="37"/>
    </row>
    <row r="153" spans="8:8" ht="16.5" customHeight="1" x14ac:dyDescent="0.25">
      <c r="H153" s="37"/>
    </row>
    <row r="154" spans="8:8" ht="16.5" customHeight="1" x14ac:dyDescent="0.25">
      <c r="H154" s="37"/>
    </row>
    <row r="155" spans="8:8" ht="16.5" customHeight="1" x14ac:dyDescent="0.25">
      <c r="H155" s="37"/>
    </row>
    <row r="156" spans="8:8" ht="16.5" customHeight="1" x14ac:dyDescent="0.25">
      <c r="H156" s="37"/>
    </row>
    <row r="157" spans="8:8" ht="16.5" customHeight="1" x14ac:dyDescent="0.25">
      <c r="H157" s="37"/>
    </row>
    <row r="158" spans="8:8" ht="16.5" customHeight="1" x14ac:dyDescent="0.25">
      <c r="H158" s="37"/>
    </row>
    <row r="159" spans="8:8" ht="16.5" customHeight="1" x14ac:dyDescent="0.25">
      <c r="H159" s="37"/>
    </row>
    <row r="160" spans="8:8" ht="16.5" customHeight="1" x14ac:dyDescent="0.25">
      <c r="H160" s="37"/>
    </row>
    <row r="161" spans="8:8" ht="16.5" customHeight="1" x14ac:dyDescent="0.25">
      <c r="H161" s="37"/>
    </row>
    <row r="162" spans="8:8" ht="16.5" customHeight="1" x14ac:dyDescent="0.25">
      <c r="H162" s="37"/>
    </row>
    <row r="163" spans="8:8" ht="16.5" customHeight="1" x14ac:dyDescent="0.25">
      <c r="H163" s="37"/>
    </row>
    <row r="164" spans="8:8" ht="16.5" customHeight="1" x14ac:dyDescent="0.25">
      <c r="H164" s="37"/>
    </row>
    <row r="165" spans="8:8" ht="16.5" customHeight="1" x14ac:dyDescent="0.25">
      <c r="H165" s="37"/>
    </row>
    <row r="166" spans="8:8" ht="16.5" customHeight="1" x14ac:dyDescent="0.25">
      <c r="H166" s="37"/>
    </row>
    <row r="167" spans="8:8" ht="16.5" customHeight="1" x14ac:dyDescent="0.25">
      <c r="H167" s="37"/>
    </row>
    <row r="168" spans="8:8" ht="16.5" customHeight="1" x14ac:dyDescent="0.25">
      <c r="H168" s="37"/>
    </row>
    <row r="169" spans="8:8" ht="16.5" customHeight="1" x14ac:dyDescent="0.25">
      <c r="H169" s="37"/>
    </row>
    <row r="170" spans="8:8" ht="16.5" customHeight="1" x14ac:dyDescent="0.25">
      <c r="H170" s="37"/>
    </row>
    <row r="171" spans="8:8" ht="16.5" customHeight="1" x14ac:dyDescent="0.25">
      <c r="H171" s="37"/>
    </row>
    <row r="172" spans="8:8" ht="16.5" customHeight="1" x14ac:dyDescent="0.25">
      <c r="H172" s="37"/>
    </row>
    <row r="173" spans="8:8" ht="16.5" customHeight="1" x14ac:dyDescent="0.25">
      <c r="H173" s="37"/>
    </row>
    <row r="174" spans="8:8" ht="16.5" customHeight="1" x14ac:dyDescent="0.25">
      <c r="H174" s="37"/>
    </row>
    <row r="175" spans="8:8" ht="16.5" customHeight="1" x14ac:dyDescent="0.25">
      <c r="H175" s="37"/>
    </row>
    <row r="176" spans="8:8" ht="16.5" customHeight="1" x14ac:dyDescent="0.25">
      <c r="H176" s="37"/>
    </row>
    <row r="177" spans="8:8" ht="16.5" customHeight="1" x14ac:dyDescent="0.25">
      <c r="H177" s="37"/>
    </row>
    <row r="178" spans="8:8" ht="34.5" customHeight="1" x14ac:dyDescent="0.25">
      <c r="H178" s="37"/>
    </row>
    <row r="179" spans="8:8" ht="16.5" customHeight="1" x14ac:dyDescent="0.25">
      <c r="H179" s="37"/>
    </row>
    <row r="180" spans="8:8" ht="16.5" customHeight="1" x14ac:dyDescent="0.25">
      <c r="H180" s="37"/>
    </row>
    <row r="181" spans="8:8" ht="16.5" customHeight="1" x14ac:dyDescent="0.25">
      <c r="H181" s="37"/>
    </row>
    <row r="182" spans="8:8" s="52" customFormat="1" ht="16.5" customHeight="1" x14ac:dyDescent="0.25"/>
    <row r="183" spans="8:8" ht="16.5" customHeight="1" x14ac:dyDescent="0.25">
      <c r="H183" s="37"/>
    </row>
    <row r="184" spans="8:8" ht="16.5" customHeight="1" x14ac:dyDescent="0.25">
      <c r="H184" s="37"/>
    </row>
    <row r="185" spans="8:8" ht="32.25" customHeight="1" x14ac:dyDescent="0.25">
      <c r="H185" s="37"/>
    </row>
    <row r="186" spans="8:8" ht="16.5" customHeight="1" x14ac:dyDescent="0.25">
      <c r="H186" s="37"/>
    </row>
    <row r="187" spans="8:8" ht="16.5" customHeight="1" x14ac:dyDescent="0.25">
      <c r="H187" s="37"/>
    </row>
    <row r="188" spans="8:8" ht="16.5" customHeight="1" x14ac:dyDescent="0.25">
      <c r="H188" s="37"/>
    </row>
    <row r="189" spans="8:8" ht="16.5" customHeight="1" x14ac:dyDescent="0.25">
      <c r="H189" s="37"/>
    </row>
    <row r="190" spans="8:8" ht="16.5" customHeight="1" x14ac:dyDescent="0.25">
      <c r="H190" s="37"/>
    </row>
    <row r="191" spans="8:8" ht="16.5" customHeight="1" x14ac:dyDescent="0.25">
      <c r="H191" s="37"/>
    </row>
    <row r="192" spans="8:8" s="52" customFormat="1" ht="16.5" customHeight="1" x14ac:dyDescent="0.25"/>
    <row r="193" spans="8:8" ht="16.5" customHeight="1" x14ac:dyDescent="0.25">
      <c r="H193" s="37"/>
    </row>
    <row r="194" spans="8:8" ht="34.5" customHeight="1" x14ac:dyDescent="0.25">
      <c r="H194" s="37"/>
    </row>
    <row r="195" spans="8:8" ht="16.5" customHeight="1" x14ac:dyDescent="0.25">
      <c r="H195" s="37"/>
    </row>
    <row r="196" spans="8:8" ht="16.5" customHeight="1" x14ac:dyDescent="0.25">
      <c r="H196" s="37"/>
    </row>
    <row r="197" spans="8:8" ht="16.5" customHeight="1" x14ac:dyDescent="0.25">
      <c r="H197" s="37"/>
    </row>
    <row r="198" spans="8:8" ht="16.5" customHeight="1" x14ac:dyDescent="0.25">
      <c r="H198" s="37"/>
    </row>
    <row r="199" spans="8:8" ht="16.5" customHeight="1" x14ac:dyDescent="0.25">
      <c r="H199" s="37"/>
    </row>
    <row r="200" spans="8:8" ht="16.5" customHeight="1" x14ac:dyDescent="0.25">
      <c r="H200" s="37"/>
    </row>
    <row r="201" spans="8:8" ht="16.5" customHeight="1" x14ac:dyDescent="0.25">
      <c r="H201" s="37"/>
    </row>
    <row r="202" spans="8:8" ht="16.5" customHeight="1" x14ac:dyDescent="0.25">
      <c r="H202" s="37"/>
    </row>
    <row r="203" spans="8:8" ht="16.5" customHeight="1" x14ac:dyDescent="0.25">
      <c r="H203" s="37"/>
    </row>
  </sheetData>
  <sheetProtection algorithmName="SHA-512" hashValue="E/dRPT4AmzkLmDBA7uPmUDeRCqMh0TqhZ2FJKJY7MMI1GZ9vZPFLi/dX6UFDYr2VSq+ulDKRhF+na5b0T055Vw==" saltValue="VR9FIz8rkPqtfsbRzKHQjQ==" spinCount="100000" sheet="1" objects="1" scenarios="1"/>
  <mergeCells count="65">
    <mergeCell ref="B69:I71"/>
    <mergeCell ref="A9:E9"/>
    <mergeCell ref="F6:I6"/>
    <mergeCell ref="F7:I7"/>
    <mergeCell ref="P14:Q14"/>
    <mergeCell ref="M14:N14"/>
    <mergeCell ref="AB14:AC14"/>
    <mergeCell ref="AE14:AF14"/>
    <mergeCell ref="W15:X15"/>
    <mergeCell ref="A1:K1"/>
    <mergeCell ref="A2:K2"/>
    <mergeCell ref="F3:I3"/>
    <mergeCell ref="F4:I4"/>
    <mergeCell ref="F5:I5"/>
    <mergeCell ref="A3:E3"/>
    <mergeCell ref="A4:E4"/>
    <mergeCell ref="A5:E5"/>
    <mergeCell ref="F8:I8"/>
    <mergeCell ref="F9:I9"/>
    <mergeCell ref="A6:E6"/>
    <mergeCell ref="A7:E7"/>
    <mergeCell ref="A8:E8"/>
    <mergeCell ref="W16:X16"/>
    <mergeCell ref="W17:X17"/>
    <mergeCell ref="W18:X18"/>
    <mergeCell ref="W19:X19"/>
    <mergeCell ref="V10:Z11"/>
    <mergeCell ref="Y14:Z14"/>
    <mergeCell ref="AA26:AC26"/>
    <mergeCell ref="W31:X31"/>
    <mergeCell ref="AA31:AC31"/>
    <mergeCell ref="AA32:AC32"/>
    <mergeCell ref="AA34:AE34"/>
    <mergeCell ref="W37:X37"/>
    <mergeCell ref="W38:X38"/>
    <mergeCell ref="W39:X39"/>
    <mergeCell ref="AA41:AE41"/>
    <mergeCell ref="AA46:AE46"/>
    <mergeCell ref="V48:AF48"/>
    <mergeCell ref="W50:X50"/>
    <mergeCell ref="AA53:AE53"/>
    <mergeCell ref="W56:X56"/>
    <mergeCell ref="W57:X57"/>
    <mergeCell ref="AA59:AE59"/>
    <mergeCell ref="W62:X62"/>
    <mergeCell ref="AA64:AE64"/>
    <mergeCell ref="W67:X67"/>
    <mergeCell ref="AA69:AE69"/>
    <mergeCell ref="V73:AF73"/>
    <mergeCell ref="W75:X75"/>
    <mergeCell ref="W76:X76"/>
    <mergeCell ref="W77:X77"/>
    <mergeCell ref="AA81:AE81"/>
    <mergeCell ref="V84:AF84"/>
    <mergeCell ref="W86:X86"/>
    <mergeCell ref="W87:X87"/>
    <mergeCell ref="W88:X88"/>
    <mergeCell ref="W89:X89"/>
    <mergeCell ref="AA105:AE105"/>
    <mergeCell ref="B106:I107"/>
    <mergeCell ref="AA94:AE94"/>
    <mergeCell ref="W97:X97"/>
    <mergeCell ref="W98:X98"/>
    <mergeCell ref="W99:X99"/>
    <mergeCell ref="W100:X100"/>
  </mergeCells>
  <conditionalFormatting sqref="L114">
    <cfRule type="colorScale" priority="5">
      <colorScale>
        <cfvo type="min"/>
        <cfvo type="max"/>
        <color rgb="FFFF7128"/>
        <color rgb="FFFFEF9C"/>
      </colorScale>
    </cfRule>
  </conditionalFormatting>
  <conditionalFormatting sqref="L56:N56 L63:N63">
    <cfRule type="expression" dxfId="48" priority="85">
      <formula>$J$56&lt;&gt;$K$63</formula>
    </cfRule>
  </conditionalFormatting>
  <conditionalFormatting sqref="L111:O111">
    <cfRule type="expression" dxfId="47" priority="10">
      <formula>$K$111&lt;0</formula>
    </cfRule>
  </conditionalFormatting>
  <conditionalFormatting sqref="L112:O112">
    <cfRule type="expression" dxfId="46" priority="9">
      <formula>$K$112&lt;0</formula>
    </cfRule>
  </conditionalFormatting>
  <conditionalFormatting sqref="L113:O113">
    <cfRule type="expression" dxfId="45" priority="8">
      <formula>$K$113&lt;0</formula>
    </cfRule>
  </conditionalFormatting>
  <conditionalFormatting sqref="L114:O114">
    <cfRule type="expression" dxfId="44" priority="4">
      <formula>$K$114&gt;0</formula>
    </cfRule>
  </conditionalFormatting>
  <conditionalFormatting sqref="L115:O115">
    <cfRule type="expression" dxfId="43" priority="3">
      <formula>$K$115&gt;0</formula>
    </cfRule>
  </conditionalFormatting>
  <conditionalFormatting sqref="L116:O116">
    <cfRule type="expression" dxfId="42" priority="7">
      <formula>$K$116&gt;0</formula>
    </cfRule>
  </conditionalFormatting>
  <conditionalFormatting sqref="L117:O117">
    <cfRule type="expression" dxfId="41" priority="6">
      <formula>$K$117&gt;0</formula>
    </cfRule>
  </conditionalFormatting>
  <conditionalFormatting sqref="L26:P26">
    <cfRule type="expression" dxfId="40" priority="77">
      <formula>$J$26&lt;&gt;$K$26</formula>
    </cfRule>
  </conditionalFormatting>
  <conditionalFormatting sqref="L34:P34">
    <cfRule type="expression" dxfId="39" priority="78">
      <formula>$J$34&lt;&gt;$K$34</formula>
    </cfRule>
  </conditionalFormatting>
  <conditionalFormatting sqref="L41:P41">
    <cfRule type="expression" dxfId="38" priority="79">
      <formula>$J$41&lt;&gt;$K$41</formula>
    </cfRule>
  </conditionalFormatting>
  <conditionalFormatting sqref="L46:P46">
    <cfRule type="expression" dxfId="37" priority="80">
      <formula>$J$46&lt;&gt;$K$46</formula>
    </cfRule>
  </conditionalFormatting>
  <conditionalFormatting sqref="L53:P53">
    <cfRule type="expression" dxfId="36" priority="20">
      <formula>$J$53&lt;&gt;$K$53</formula>
    </cfRule>
  </conditionalFormatting>
  <conditionalFormatting sqref="L59:P59">
    <cfRule type="expression" dxfId="35" priority="82">
      <formula>$J$59&lt;&gt;$K$59</formula>
    </cfRule>
  </conditionalFormatting>
  <conditionalFormatting sqref="L64:P64">
    <cfRule type="expression" dxfId="34" priority="83">
      <formula>$J$64&lt;&gt;$K$64</formula>
    </cfRule>
  </conditionalFormatting>
  <conditionalFormatting sqref="L69:P69">
    <cfRule type="expression" dxfId="33" priority="84">
      <formula>$J$69&lt;&gt;$K$69</formula>
    </cfRule>
  </conditionalFormatting>
  <conditionalFormatting sqref="L81:P81">
    <cfRule type="expression" dxfId="32" priority="81">
      <formula>$J$81&lt;&gt;$K$81</formula>
    </cfRule>
  </conditionalFormatting>
  <conditionalFormatting sqref="L94:P94">
    <cfRule type="expression" dxfId="31" priority="75">
      <formula>$J$94&lt;&gt;$K$94</formula>
    </cfRule>
  </conditionalFormatting>
  <conditionalFormatting sqref="L105:P105">
    <cfRule type="expression" dxfId="30" priority="74">
      <formula>$J$105&lt;&gt;$K$105</formula>
    </cfRule>
  </conditionalFormatting>
  <conditionalFormatting sqref="L114:Q114">
    <cfRule type="expression" dxfId="29" priority="2">
      <formula>-$K$113&gt;$K$114</formula>
    </cfRule>
  </conditionalFormatting>
  <conditionalFormatting sqref="L115:S115">
    <cfRule type="expression" dxfId="28" priority="1">
      <formula>-$K$115&gt;$K$112</formula>
    </cfRule>
  </conditionalFormatting>
  <conditionalFormatting sqref="AA25">
    <cfRule type="containsText" dxfId="27" priority="70" operator="containsText" text="&lt;- Accts 0789 must agree">
      <formula>NOT(ISERROR(SEARCH("&lt;- Accts 0789 must agree",AA25)))</formula>
    </cfRule>
  </conditionalFormatting>
  <conditionalFormatting sqref="AA26">
    <cfRule type="cellIs" dxfId="26" priority="52" operator="equal">
      <formula>"&lt;- Debits and Credits do not equal each other."</formula>
    </cfRule>
  </conditionalFormatting>
  <conditionalFormatting sqref="AA31">
    <cfRule type="containsText" dxfId="25" priority="49" operator="containsText" text="&lt;- Accts 0789 must agree">
      <formula>NOT(ISERROR(SEARCH("&lt;- Accts 0789 must agree",AA31)))</formula>
    </cfRule>
  </conditionalFormatting>
  <conditionalFormatting sqref="AA34">
    <cfRule type="cellIs" dxfId="24" priority="14" operator="equal">
      <formula>"&lt;- Debits and Credits do not equal each other."</formula>
    </cfRule>
  </conditionalFormatting>
  <conditionalFormatting sqref="AA39">
    <cfRule type="containsText" dxfId="23" priority="45" operator="containsText" text="&lt;- Accts 0789 must agree">
      <formula>NOT(ISERROR(SEARCH("&lt;- Accts 0789 must agree",AA39)))</formula>
    </cfRule>
  </conditionalFormatting>
  <conditionalFormatting sqref="AA41">
    <cfRule type="cellIs" dxfId="22" priority="15" operator="equal">
      <formula>"&lt;- Debits and Credits do not equal each other."</formula>
    </cfRule>
  </conditionalFormatting>
  <conditionalFormatting sqref="AA46">
    <cfRule type="cellIs" dxfId="21" priority="16" operator="equal">
      <formula>"&lt;- Debits and Credits do not equal each other."</formula>
    </cfRule>
  </conditionalFormatting>
  <conditionalFormatting sqref="AA53">
    <cfRule type="cellIs" dxfId="20" priority="17" operator="equal">
      <formula>"&lt;- Debits and Credits do not equal each other."</formula>
    </cfRule>
  </conditionalFormatting>
  <conditionalFormatting sqref="AA59">
    <cfRule type="cellIs" dxfId="19" priority="18" operator="equal">
      <formula>"&lt;- Debits and Credits do not equal each other."</formula>
    </cfRule>
  </conditionalFormatting>
  <conditionalFormatting sqref="AA64">
    <cfRule type="cellIs" dxfId="18" priority="38" operator="equal">
      <formula>"&lt;- Debits and Credits do not equal each other."</formula>
    </cfRule>
  </conditionalFormatting>
  <conditionalFormatting sqref="AA69">
    <cfRule type="cellIs" dxfId="17" priority="19" operator="equal">
      <formula>"&lt;- Debits and Credits do not equal each other."</formula>
    </cfRule>
  </conditionalFormatting>
  <conditionalFormatting sqref="AA81">
    <cfRule type="cellIs" dxfId="16" priority="13" operator="equal">
      <formula>"&lt;- Debits and Credits do not equal each other."</formula>
    </cfRule>
  </conditionalFormatting>
  <conditionalFormatting sqref="AA94">
    <cfRule type="cellIs" dxfId="15" priority="12" operator="equal">
      <formula>"&lt;- Debits and Credits do not equal each other."</formula>
    </cfRule>
  </conditionalFormatting>
  <conditionalFormatting sqref="AA105">
    <cfRule type="cellIs" dxfId="14" priority="11" operator="equal">
      <formula>"&lt;- Debits and Credits do not equal each other."</formula>
    </cfRule>
  </conditionalFormatting>
  <conditionalFormatting sqref="AA25:AB25">
    <cfRule type="containsText" dxfId="13" priority="69" operator="containsText" text="&lt;- Accts 0842 must agree">
      <formula>NOT(ISERROR(SEARCH("&lt;- Accts 0842 must agree",AA25)))</formula>
    </cfRule>
  </conditionalFormatting>
  <conditionalFormatting sqref="AA31:AC31">
    <cfRule type="containsText" dxfId="12" priority="48" operator="containsText" text="&lt;- Accts 0842 must agree">
      <formula>NOT(ISERROR(SEARCH("&lt;- Accts 0842 must agree",AA31)))</formula>
    </cfRule>
  </conditionalFormatting>
  <conditionalFormatting sqref="AA32:AC32">
    <cfRule type="containsText" dxfId="11" priority="47" operator="containsText" text="&lt;- Accts 0789 must agree">
      <formula>NOT(ISERROR(SEARCH("&lt;- Accts 0789 must agree",AA32)))</formula>
    </cfRule>
  </conditionalFormatting>
  <conditionalFormatting sqref="AA38:AC38">
    <cfRule type="containsText" dxfId="10" priority="43" operator="containsText" text="&lt;- Accts 0789 must agree">
      <formula>NOT(ISERROR(SEARCH("&lt;- Accts 0789 must agree",AA38)))</formula>
    </cfRule>
  </conditionalFormatting>
  <conditionalFormatting sqref="AA39:AC39">
    <cfRule type="containsText" dxfId="9" priority="44" operator="containsText" text="&lt;- Accts 0842 must agree">
      <formula>NOT(ISERROR(SEARCH("&lt;- Accts 0842 must agree",AA39)))</formula>
    </cfRule>
  </conditionalFormatting>
  <conditionalFormatting sqref="AE15:AF25">
    <cfRule type="containsText" dxfId="8" priority="54" operator="containsText" text="0">
      <formula>NOT(ISERROR(SEARCH("0",AE15)))</formula>
    </cfRule>
  </conditionalFormatting>
  <conditionalFormatting sqref="AF27">
    <cfRule type="cellIs" dxfId="7" priority="50" operator="lessThan">
      <formula>0</formula>
    </cfRule>
    <cfRule type="cellIs" dxfId="6" priority="51" operator="greaterThan">
      <formula>0</formula>
    </cfRule>
  </conditionalFormatting>
  <dataValidations count="4">
    <dataValidation type="whole" operator="greaterThanOrEqual" allowBlank="1" showErrorMessage="1" errorTitle="Whole Numbers Only" error="Enter amounts as whole numbers only." promptTitle="Whole Numbers" prompt="Enter whole numbers only." sqref="Z90:Z93 J15:J19 J31 K63 K32:K33 K58 K40 J37:J39 J75:J77 J50 J44 K51:K52 K68 J62 J56:J57 K20:K25 Z101:Z104 M15:M19 J67 J97:J100 K90:K93 J86:J89 K45 K78:K80 Y97:Y100 Y15:Y19 AB15:AB18 Z21:Z24 Y31 Z32:Z33 Z40 Y37:Y39 Y44 Z45 Y50 Z51:Z53 AC21:AC24 Z58 Y62 Z63 Y67 Z68 Y56:Y57 Y75:Y77 Z78:Z80 Y86:Y89 N21:N25 K101:K104" xr:uid="{00000000-0002-0000-0C00-000000000000}">
      <formula1>0</formula1>
    </dataValidation>
    <dataValidation type="textLength" operator="lessThan" allowBlank="1" showInputMessage="1" showErrorMessage="1" sqref="A6" xr:uid="{00000000-0002-0000-0C00-000001000000}">
      <formula1>0</formula1>
    </dataValidation>
    <dataValidation operator="lessThan" allowBlank="1" showInputMessage="1" showErrorMessage="1" sqref="A7:A8 A3:A5" xr:uid="{00000000-0002-0000-0C00-000002000000}"/>
    <dataValidation type="textLength" operator="equal" allowBlank="1" showInputMessage="1" showErrorMessage="1" errorTitle="4-Digit Org Code" error="Enter the Org Code/BU as 4 digits." sqref="F5" xr:uid="{00000000-0002-0000-0C00-000003000000}">
      <formula1>4</formula1>
    </dataValidation>
  </dataValidations>
  <pageMargins left="0.5" right="0.5" top="0.75" bottom="0.75" header="0.3" footer="0.3"/>
  <pageSetup scale="49" fitToHeight="0" orientation="landscape" r:id="rId1"/>
  <headerFooter>
    <oddHeader xml:space="preserve">&amp;C&amp;"arial,Bold"&amp;14GASB 87 
Fund Consolidated Journal Entries </oddHeader>
    <oddFooter>&amp;L&amp;"arial,Regular"&amp;12State Controller's Office&amp;C&amp;"arial,Regular"&amp;12
Fund #### Journal Entries&amp;R&amp;"arial,Regular"&amp;12Page &amp;P of &amp;N</oddFooter>
  </headerFooter>
  <rowBreaks count="1" manualBreakCount="1">
    <brk id="47" max="1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4000000}">
          <x14:formula1>
            <xm:f>'Drop Down Menus'!$E$1:$E$3</xm:f>
          </x14:formula1>
          <xm:sqref>F8</xm:sqref>
        </x14:dataValidation>
        <x14:dataValidation type="list" allowBlank="1" showInputMessage="1" showErrorMessage="1" xr:uid="{00000000-0002-0000-0C00-000005000000}">
          <x14:formula1>
            <xm:f>'Drop Down Menus'!$B$1:$B$2</xm:f>
          </x14:formula1>
          <xm:sqref>F7</xm:sqref>
        </x14:dataValidation>
        <x14:dataValidation type="list" allowBlank="1" showInputMessage="1" showErrorMessage="1" xr:uid="{00000000-0002-0000-0C00-000006000000}">
          <x14:formula1>
            <xm:f>'Drop Down Menus'!$A$1:$A$101</xm:f>
          </x14:formula1>
          <xm:sqref>F3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198E0"/>
  </sheetPr>
  <dimension ref="B1:Q23"/>
  <sheetViews>
    <sheetView zoomScale="90" zoomScaleNormal="90" workbookViewId="0"/>
  </sheetViews>
  <sheetFormatPr defaultColWidth="9.140625" defaultRowHeight="18" x14ac:dyDescent="0.25"/>
  <cols>
    <col min="1" max="1" width="9.140625" style="60"/>
    <col min="2" max="3" width="3.7109375" style="60" customWidth="1"/>
    <col min="4" max="4" width="38.7109375" style="60" customWidth="1"/>
    <col min="5" max="5" width="3.7109375" style="60" customWidth="1"/>
    <col min="6" max="6" width="16.85546875" style="61" customWidth="1"/>
    <col min="7" max="7" width="3.7109375" style="60" customWidth="1"/>
    <col min="8" max="8" width="19.28515625" style="61" customWidth="1"/>
    <col min="9" max="9" width="3.7109375" style="60" customWidth="1"/>
    <col min="10" max="10" width="20.28515625" style="61" customWidth="1"/>
    <col min="11" max="11" width="3.7109375" style="60" customWidth="1"/>
    <col min="12" max="12" width="16.85546875" style="61" customWidth="1"/>
    <col min="13" max="13" width="3.7109375" style="60" customWidth="1"/>
    <col min="14" max="14" width="16.85546875" style="61" customWidth="1"/>
    <col min="15" max="15" width="3.7109375" style="60" customWidth="1"/>
    <col min="16" max="16" width="17.7109375" style="61" bestFit="1" customWidth="1"/>
    <col min="17" max="17" width="3.7109375" style="60" customWidth="1"/>
    <col min="18" max="16384" width="9.140625" style="60"/>
  </cols>
  <sheetData>
    <row r="1" spans="2:17" ht="18.75" thickBot="1" x14ac:dyDescent="0.3"/>
    <row r="2" spans="2:17" x14ac:dyDescent="0.25">
      <c r="B2" s="62"/>
      <c r="C2" s="63"/>
      <c r="D2" s="63"/>
      <c r="E2" s="63"/>
      <c r="F2" s="64"/>
      <c r="G2" s="63"/>
      <c r="H2" s="64"/>
      <c r="I2" s="63"/>
      <c r="J2" s="64"/>
      <c r="K2" s="63"/>
      <c r="L2" s="64"/>
      <c r="M2" s="63"/>
      <c r="N2" s="64"/>
      <c r="O2" s="63"/>
      <c r="P2" s="64"/>
      <c r="Q2" s="65"/>
    </row>
    <row r="3" spans="2:17" ht="20.25" x14ac:dyDescent="0.3">
      <c r="B3" s="66"/>
      <c r="D3" s="3"/>
      <c r="E3" s="3"/>
      <c r="F3" s="3"/>
      <c r="G3" s="3"/>
      <c r="H3" s="3"/>
      <c r="I3" s="3"/>
      <c r="J3" s="67" t="s">
        <v>13</v>
      </c>
      <c r="K3" s="3"/>
      <c r="L3" s="3"/>
      <c r="M3" s="3"/>
      <c r="N3" s="3"/>
      <c r="O3" s="3"/>
      <c r="P3" s="3"/>
      <c r="Q3" s="68"/>
    </row>
    <row r="4" spans="2:17" ht="20.25" x14ac:dyDescent="0.3">
      <c r="B4" s="66"/>
      <c r="D4" s="3"/>
      <c r="E4" s="3"/>
      <c r="F4" s="3"/>
      <c r="G4" s="3"/>
      <c r="H4" s="3"/>
      <c r="I4" s="3"/>
      <c r="J4" s="67" t="str">
        <f>CONCATENATE("FY ",'FP-Fund #### Journal Entries'!F3)</f>
        <v>FY 2024–2025</v>
      </c>
      <c r="K4" s="3"/>
      <c r="L4" s="3"/>
      <c r="M4" s="3"/>
      <c r="N4" s="3"/>
      <c r="O4" s="3"/>
      <c r="P4" s="3"/>
      <c r="Q4" s="68"/>
    </row>
    <row r="5" spans="2:17" ht="20.25" x14ac:dyDescent="0.3">
      <c r="B5" s="66"/>
      <c r="D5" s="3"/>
      <c r="E5" s="3"/>
      <c r="F5" s="3"/>
      <c r="G5" s="3"/>
      <c r="H5" s="3"/>
      <c r="I5" s="3"/>
      <c r="J5" s="91" t="str">
        <f>CONCATENATE("Business Unit ",'FP-Fund #### Journal Entries'!F5," - ",'FP-Fund #### Journal Entries'!F4)</f>
        <v xml:space="preserve">Business Unit  - </v>
      </c>
      <c r="K5" s="3"/>
      <c r="L5" s="3"/>
      <c r="M5" s="3"/>
      <c r="N5" s="3"/>
      <c r="O5" s="3"/>
      <c r="P5" s="3"/>
      <c r="Q5" s="68"/>
    </row>
    <row r="6" spans="2:17" x14ac:dyDescent="0.25">
      <c r="B6" s="66"/>
      <c r="Q6" s="68"/>
    </row>
    <row r="7" spans="2:17" ht="36.75" thickBot="1" x14ac:dyDescent="0.3">
      <c r="B7" s="66"/>
      <c r="F7" s="69" t="str">
        <f>CONCATENATE("Balance          July 1, ",MID(J4,4,4))</f>
        <v>Balance          July 1, 2024</v>
      </c>
      <c r="G7" s="70"/>
      <c r="H7" s="71" t="s">
        <v>14</v>
      </c>
      <c r="I7" s="70"/>
      <c r="J7" s="71" t="s">
        <v>15</v>
      </c>
      <c r="K7" s="70"/>
      <c r="L7" s="69" t="str">
        <f>CONCATENATE("Balance        June 30, ",RIGHT(J4,4))</f>
        <v>Balance        June 30, 2025</v>
      </c>
      <c r="M7" s="70"/>
      <c r="N7" s="69" t="s">
        <v>16</v>
      </c>
      <c r="O7" s="70"/>
      <c r="P7" s="69" t="s">
        <v>17</v>
      </c>
      <c r="Q7" s="68"/>
    </row>
    <row r="8" spans="2:17" x14ac:dyDescent="0.25">
      <c r="B8" s="66"/>
      <c r="F8" s="208" t="s">
        <v>1677</v>
      </c>
      <c r="G8" s="70"/>
      <c r="H8" s="208" t="s">
        <v>1736</v>
      </c>
      <c r="I8" s="70"/>
      <c r="J8" s="208" t="s">
        <v>1737</v>
      </c>
      <c r="K8" s="70"/>
      <c r="L8" s="207"/>
      <c r="M8" s="70"/>
      <c r="N8" s="208" t="s">
        <v>1678</v>
      </c>
      <c r="O8" s="70"/>
      <c r="P8" s="207"/>
      <c r="Q8" s="68"/>
    </row>
    <row r="9" spans="2:17" x14ac:dyDescent="0.25">
      <c r="B9" s="66"/>
      <c r="C9" s="70" t="s">
        <v>18</v>
      </c>
      <c r="Q9" s="68"/>
    </row>
    <row r="10" spans="2:17" ht="36.75" thickBot="1" x14ac:dyDescent="0.3">
      <c r="B10" s="66"/>
      <c r="D10" s="72" t="s">
        <v>20</v>
      </c>
      <c r="F10" s="95">
        <f>IF('FP-Fund #### Journal Entries'!$F$8="Governmental Fund",'FP-Fund #### Journal Entries'!$K$23,0)</f>
        <v>0</v>
      </c>
      <c r="G10" s="92"/>
      <c r="H10" s="95">
        <f>IF('FP-Fund #### Journal Entries'!$F$8="Governmental Fund",SUM('FP-Fund #### Journal Entries'!$K$45,'FP-Fund #### Journal Entries'!K101),0)</f>
        <v>0</v>
      </c>
      <c r="I10" s="92"/>
      <c r="J10" s="95">
        <f>IF('FP-Fund #### Journal Entries'!$F$8="Governmental Fund",SUM('FP-Fund #### Journal Entries'!$J$62,'FP-Fund #### Journal Entries'!J86),0)</f>
        <v>0</v>
      </c>
      <c r="K10" s="92"/>
      <c r="L10" s="92">
        <f>SUM(F10+H10-J10)</f>
        <v>0</v>
      </c>
      <c r="M10" s="92"/>
      <c r="N10" s="95">
        <f>IF('FP-Fund #### Journal Entries'!$F$8="Governmental Fund",'FP-Fund #### Journal Entries'!$J$67,0)</f>
        <v>0</v>
      </c>
      <c r="O10" s="92"/>
      <c r="P10" s="92">
        <f>L10-N10</f>
        <v>0</v>
      </c>
      <c r="Q10" s="68"/>
    </row>
    <row r="11" spans="2:17" ht="19.5" thickTop="1" thickBot="1" x14ac:dyDescent="0.3">
      <c r="B11" s="66"/>
      <c r="C11" s="70" t="s">
        <v>21</v>
      </c>
      <c r="F11" s="96">
        <f>SUM(F10:F10)</f>
        <v>0</v>
      </c>
      <c r="G11" s="92"/>
      <c r="H11" s="96">
        <f>SUM(H10:H10)</f>
        <v>0</v>
      </c>
      <c r="I11" s="92"/>
      <c r="J11" s="96">
        <f>SUM(J10:J10)</f>
        <v>0</v>
      </c>
      <c r="K11" s="92"/>
      <c r="L11" s="96">
        <f>SUM(L10:L10)</f>
        <v>0</v>
      </c>
      <c r="M11" s="92"/>
      <c r="N11" s="96">
        <f>SUM(N10:N10)</f>
        <v>0</v>
      </c>
      <c r="O11" s="92"/>
      <c r="P11" s="96">
        <f>SUM(P10:P10)</f>
        <v>0</v>
      </c>
      <c r="Q11" s="68"/>
    </row>
    <row r="12" spans="2:17" ht="18.75" thickTop="1" x14ac:dyDescent="0.25">
      <c r="B12" s="66"/>
      <c r="F12" s="92"/>
      <c r="G12" s="93"/>
      <c r="H12" s="92"/>
      <c r="I12" s="92"/>
      <c r="J12" s="92"/>
      <c r="K12" s="92"/>
      <c r="L12" s="92"/>
      <c r="M12" s="92"/>
      <c r="N12" s="92"/>
      <c r="O12" s="92"/>
      <c r="P12" s="92"/>
      <c r="Q12" s="68"/>
    </row>
    <row r="13" spans="2:17" x14ac:dyDescent="0.25">
      <c r="B13" s="66"/>
      <c r="C13" s="70" t="s">
        <v>143</v>
      </c>
      <c r="F13" s="92"/>
      <c r="G13" s="92"/>
      <c r="H13" s="92"/>
      <c r="I13" s="92"/>
      <c r="J13" s="92"/>
      <c r="K13" s="92"/>
      <c r="L13" s="92"/>
      <c r="M13" s="92"/>
      <c r="N13" s="92"/>
      <c r="O13" s="92"/>
      <c r="P13" s="92"/>
      <c r="Q13" s="68"/>
    </row>
    <row r="14" spans="2:17" ht="36.75" thickBot="1" x14ac:dyDescent="0.3">
      <c r="B14" s="66"/>
      <c r="D14" s="72" t="s">
        <v>20</v>
      </c>
      <c r="F14" s="95">
        <f>IF('FP-Fund #### Journal Entries'!$F$8="Proprietary - Internal Service Fund",'FP-Fund #### Journal Entries'!$K$23,0)</f>
        <v>0</v>
      </c>
      <c r="G14" s="92"/>
      <c r="H14" s="95">
        <f>IF('FP-Fund #### Journal Entries'!$F$8="Proprietary - Internal Service Fund",SUM('FP-Fund #### Journal Entries'!$K$45,'FP-Fund #### Journal Entries'!K101),0)</f>
        <v>0</v>
      </c>
      <c r="I14" s="92"/>
      <c r="J14" s="95">
        <f>IF('FP-Fund #### Journal Entries'!$F$8="Proprietary - Internal Service Fund",SUM('FP-Fund #### Journal Entries'!$J$62,'FP-Fund #### Journal Entries'!J86),0)</f>
        <v>0</v>
      </c>
      <c r="K14" s="92"/>
      <c r="L14" s="92">
        <f>SUM(F14+H14-J14)</f>
        <v>0</v>
      </c>
      <c r="M14" s="92"/>
      <c r="N14" s="95">
        <f>IF('FP-Fund #### Journal Entries'!$F$8="Proprietary - Internal Service Fund",'FP-Fund #### Journal Entries'!$J$67,0)</f>
        <v>0</v>
      </c>
      <c r="O14" s="92"/>
      <c r="P14" s="92">
        <f>L14-N14</f>
        <v>0</v>
      </c>
      <c r="Q14" s="68"/>
    </row>
    <row r="15" spans="2:17" ht="19.5" thickTop="1" thickBot="1" x14ac:dyDescent="0.3">
      <c r="B15" s="66"/>
      <c r="C15" s="70" t="s">
        <v>144</v>
      </c>
      <c r="F15" s="96">
        <f>SUM(F14:F14)</f>
        <v>0</v>
      </c>
      <c r="G15" s="92"/>
      <c r="H15" s="96">
        <f>SUM(H14:H14)</f>
        <v>0</v>
      </c>
      <c r="I15" s="92"/>
      <c r="J15" s="96">
        <f>SUM(J14:J14)</f>
        <v>0</v>
      </c>
      <c r="K15" s="92"/>
      <c r="L15" s="96">
        <f>SUM(L14:L14)</f>
        <v>0</v>
      </c>
      <c r="M15" s="92"/>
      <c r="N15" s="96">
        <f>SUM(N14:N14)</f>
        <v>0</v>
      </c>
      <c r="O15" s="92"/>
      <c r="P15" s="96">
        <f>SUM(P14:P14)</f>
        <v>0</v>
      </c>
      <c r="Q15" s="68"/>
    </row>
    <row r="16" spans="2:17" ht="18.75" thickTop="1" x14ac:dyDescent="0.25">
      <c r="B16" s="66"/>
      <c r="C16" s="70"/>
      <c r="F16" s="94"/>
      <c r="G16" s="92"/>
      <c r="H16" s="94"/>
      <c r="I16" s="92"/>
      <c r="J16" s="94"/>
      <c r="K16" s="92"/>
      <c r="L16" s="94"/>
      <c r="M16" s="92"/>
      <c r="N16" s="94"/>
      <c r="O16" s="92"/>
      <c r="P16" s="94"/>
      <c r="Q16" s="68"/>
    </row>
    <row r="17" spans="2:17" x14ac:dyDescent="0.25">
      <c r="B17" s="66"/>
      <c r="C17" s="70" t="s">
        <v>145</v>
      </c>
      <c r="F17" s="92"/>
      <c r="G17" s="92"/>
      <c r="H17" s="92"/>
      <c r="I17" s="92"/>
      <c r="J17" s="92"/>
      <c r="K17" s="92"/>
      <c r="L17" s="92"/>
      <c r="M17" s="92"/>
      <c r="N17" s="92"/>
      <c r="O17" s="92"/>
      <c r="P17" s="92"/>
      <c r="Q17" s="68"/>
    </row>
    <row r="18" spans="2:17" ht="36.75" thickBot="1" x14ac:dyDescent="0.3">
      <c r="B18" s="66"/>
      <c r="D18" s="72" t="s">
        <v>20</v>
      </c>
      <c r="F18" s="95">
        <f>IF('FP-Fund #### Journal Entries'!$F$8="Proprietary - Enterprise Fund",'FP-Fund #### Journal Entries'!$K$23,0)</f>
        <v>0</v>
      </c>
      <c r="G18" s="92"/>
      <c r="H18" s="95">
        <f>IF('FP-Fund #### Journal Entries'!$F$8="Proprietary - Enterprise Fund",SUM('FP-Fund #### Journal Entries'!$K$45,'FP-Fund #### Journal Entries'!K101),0)</f>
        <v>0</v>
      </c>
      <c r="I18" s="92"/>
      <c r="J18" s="95">
        <f>IF('FP-Fund #### Journal Entries'!$F$8="Proprietary - Enterprise Fund",SUM('FP-Fund #### Journal Entries'!$J$62,'FP-Fund #### Journal Entries'!J86),0)</f>
        <v>0</v>
      </c>
      <c r="K18" s="92"/>
      <c r="L18" s="92">
        <f>SUM(F18+H18-J18)</f>
        <v>0</v>
      </c>
      <c r="M18" s="92"/>
      <c r="N18" s="95">
        <f>IF('FP-Fund #### Journal Entries'!$F$8="Proprietary - Enterprise Fund",'FP-Fund #### Journal Entries'!$J$67,0)</f>
        <v>0</v>
      </c>
      <c r="O18" s="92"/>
      <c r="P18" s="92">
        <f>L18-N18</f>
        <v>0</v>
      </c>
      <c r="Q18" s="68"/>
    </row>
    <row r="19" spans="2:17" ht="19.5" thickTop="1" thickBot="1" x14ac:dyDescent="0.3">
      <c r="B19" s="66"/>
      <c r="C19" s="70" t="s">
        <v>146</v>
      </c>
      <c r="F19" s="96">
        <f>SUM(F18:F18)</f>
        <v>0</v>
      </c>
      <c r="G19" s="92"/>
      <c r="H19" s="96">
        <f>SUM(H18:H18)</f>
        <v>0</v>
      </c>
      <c r="I19" s="92"/>
      <c r="J19" s="96">
        <f>SUM(J18:J18)</f>
        <v>0</v>
      </c>
      <c r="K19" s="92"/>
      <c r="L19" s="96">
        <f>SUM(L18:L18)</f>
        <v>0</v>
      </c>
      <c r="M19" s="92"/>
      <c r="N19" s="96">
        <f>SUM(N18:N18)</f>
        <v>0</v>
      </c>
      <c r="O19" s="92"/>
      <c r="P19" s="96">
        <f>SUM(P18:P18)</f>
        <v>0</v>
      </c>
      <c r="Q19" s="68"/>
    </row>
    <row r="20" spans="2:17" ht="19.5" thickTop="1" thickBot="1" x14ac:dyDescent="0.3">
      <c r="B20" s="73"/>
      <c r="C20" s="74"/>
      <c r="D20" s="74"/>
      <c r="E20" s="74"/>
      <c r="F20" s="75"/>
      <c r="G20" s="74"/>
      <c r="H20" s="75"/>
      <c r="I20" s="74"/>
      <c r="J20" s="75"/>
      <c r="K20" s="74"/>
      <c r="L20" s="75"/>
      <c r="M20" s="74"/>
      <c r="N20" s="75"/>
      <c r="O20" s="74"/>
      <c r="P20" s="75"/>
      <c r="Q20" s="76"/>
    </row>
    <row r="22" spans="2:17" x14ac:dyDescent="0.25">
      <c r="B22" s="233" t="s">
        <v>1753</v>
      </c>
    </row>
    <row r="23" spans="2:17" x14ac:dyDescent="0.25">
      <c r="B23" s="233" t="s">
        <v>1654</v>
      </c>
    </row>
  </sheetData>
  <sheetProtection algorithmName="SHA-512" hashValue="lZ9H28Q9OvmziHMArSoY4vz2LtBDnrm+BmrUSBDbi5yW4L3ndHkoEgSzTb4qRahW1WKkvIieaT7oBUSrdk4Evw==" saltValue="HQkjsxx8JmokH4j36+HYRA==" spinCount="100000" sheet="1" objects="1" scenarios="1"/>
  <dataValidations count="1">
    <dataValidation type="whole" operator="greaterThanOrEqual" allowBlank="1" showErrorMessage="1" errorTitle="Invalid Entry" error="Do not enter any negative values._x000a_Only enter whole numbers." sqref="J14 F18 H14 N14 J18 F14 H18 F10 N10 J10 H10 N18" xr:uid="{00000000-0002-0000-0D00-000000000000}">
      <formula1>0</formula1>
    </dataValidation>
  </dataValidations>
  <pageMargins left="0.7" right="0.7" top="0.75" bottom="0.75" header="0.3" footer="0.3"/>
  <pageSetup scale="5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D39D4-AAF5-4C2F-9F11-50ADED33BD49}">
  <sheetPr>
    <tabColor rgb="FFC198E0"/>
    <pageSetUpPr fitToPage="1"/>
  </sheetPr>
  <dimension ref="A1:S44"/>
  <sheetViews>
    <sheetView showGridLines="0" zoomScale="112" zoomScaleNormal="112" workbookViewId="0"/>
  </sheetViews>
  <sheetFormatPr defaultColWidth="0" defaultRowHeight="15" zeroHeight="1" x14ac:dyDescent="0.25"/>
  <cols>
    <col min="1" max="1" width="2.85546875" style="108" customWidth="1"/>
    <col min="2" max="2" width="13.85546875" style="108" customWidth="1"/>
    <col min="3" max="3" width="2.85546875" style="130" customWidth="1"/>
    <col min="4" max="4" width="13.85546875" style="108" customWidth="1"/>
    <col min="5" max="5" width="2.85546875" style="130" customWidth="1"/>
    <col min="6" max="6" width="13.85546875" style="108" customWidth="1"/>
    <col min="7" max="7" width="2.85546875" style="108" customWidth="1"/>
    <col min="8" max="8" width="13.85546875" style="108" customWidth="1"/>
    <col min="9" max="9" width="2.85546875" style="108" customWidth="1"/>
    <col min="10" max="10" width="13.85546875" style="108" customWidth="1"/>
    <col min="11" max="11" width="2.85546875" style="130" customWidth="1"/>
    <col min="12" max="12" width="19.140625" style="108" customWidth="1"/>
    <col min="13" max="13" width="2.85546875" style="130" customWidth="1"/>
    <col min="14" max="14" width="25.85546875" style="108" customWidth="1"/>
    <col min="15" max="15" width="2.85546875" style="108" customWidth="1"/>
    <col min="16" max="16" width="13.85546875" style="108" customWidth="1"/>
    <col min="17" max="17" width="2.85546875" style="108" customWidth="1"/>
    <col min="18" max="19" width="0" style="108" hidden="1" customWidth="1"/>
    <col min="20" max="16384" width="9.140625" style="108" hidden="1"/>
  </cols>
  <sheetData>
    <row r="1" spans="1:17" s="103" customFormat="1" ht="15.75" x14ac:dyDescent="0.25">
      <c r="A1" s="98" t="s">
        <v>1766</v>
      </c>
      <c r="B1" s="99"/>
      <c r="C1" s="100"/>
      <c r="D1" s="99"/>
      <c r="E1" s="100"/>
      <c r="F1" s="101"/>
      <c r="G1" s="101"/>
      <c r="H1" s="101"/>
      <c r="I1" s="101"/>
      <c r="J1" s="101"/>
      <c r="K1" s="102"/>
      <c r="L1" s="101"/>
      <c r="M1" s="102"/>
      <c r="N1" s="99"/>
      <c r="O1" s="99"/>
      <c r="P1" s="99"/>
      <c r="Q1" s="99"/>
    </row>
    <row r="2" spans="1:17" s="103" customFormat="1" ht="15.75" x14ac:dyDescent="0.25">
      <c r="A2" s="98" t="s">
        <v>148</v>
      </c>
      <c r="B2" s="99"/>
      <c r="C2" s="100"/>
      <c r="D2" s="99"/>
      <c r="E2" s="100"/>
      <c r="F2" s="99"/>
      <c r="G2" s="99"/>
      <c r="H2" s="99"/>
      <c r="I2" s="99"/>
      <c r="J2" s="99"/>
      <c r="K2" s="100"/>
      <c r="L2" s="99"/>
      <c r="M2" s="100"/>
      <c r="N2" s="99"/>
      <c r="O2" s="99"/>
      <c r="P2" s="99"/>
      <c r="Q2" s="99"/>
    </row>
    <row r="3" spans="1:17" s="103" customFormat="1" ht="15.75" x14ac:dyDescent="0.25">
      <c r="C3" s="104"/>
      <c r="E3" s="104"/>
      <c r="K3" s="104"/>
      <c r="M3" s="104"/>
    </row>
    <row r="4" spans="1:17" x14ac:dyDescent="0.25">
      <c r="A4" s="105" t="s">
        <v>149</v>
      </c>
      <c r="B4" s="106"/>
      <c r="C4" s="107"/>
      <c r="D4" s="106"/>
      <c r="E4" s="107"/>
      <c r="F4" s="106"/>
      <c r="G4" s="106"/>
      <c r="H4" s="106"/>
      <c r="I4" s="106"/>
      <c r="J4" s="106"/>
      <c r="K4" s="107"/>
      <c r="L4" s="106"/>
      <c r="M4" s="107"/>
      <c r="N4" s="106"/>
      <c r="O4" s="106"/>
      <c r="P4" s="106"/>
      <c r="Q4" s="106"/>
    </row>
    <row r="5" spans="1:17" ht="15" customHeight="1" x14ac:dyDescent="0.25">
      <c r="A5" s="436" t="s">
        <v>1768</v>
      </c>
      <c r="B5" s="436"/>
      <c r="C5" s="436"/>
      <c r="D5" s="436"/>
      <c r="E5" s="436"/>
      <c r="F5" s="436"/>
      <c r="G5" s="436"/>
      <c r="H5" s="436"/>
      <c r="I5" s="436"/>
      <c r="J5" s="436"/>
      <c r="K5" s="436"/>
      <c r="L5" s="436"/>
      <c r="M5" s="436"/>
      <c r="N5" s="436"/>
      <c r="O5" s="436"/>
      <c r="P5" s="436"/>
      <c r="Q5" s="436"/>
    </row>
    <row r="6" spans="1:17" x14ac:dyDescent="0.25">
      <c r="A6" s="436"/>
      <c r="B6" s="436"/>
      <c r="C6" s="436"/>
      <c r="D6" s="436"/>
      <c r="E6" s="436"/>
      <c r="F6" s="436"/>
      <c r="G6" s="436"/>
      <c r="H6" s="436"/>
      <c r="I6" s="436"/>
      <c r="J6" s="436"/>
      <c r="K6" s="436"/>
      <c r="L6" s="436"/>
      <c r="M6" s="436"/>
      <c r="N6" s="436"/>
      <c r="O6" s="436"/>
      <c r="P6" s="436"/>
      <c r="Q6" s="436"/>
    </row>
    <row r="7" spans="1:17" ht="15" customHeight="1" x14ac:dyDescent="0.25">
      <c r="A7" s="437" t="s">
        <v>1654</v>
      </c>
      <c r="B7" s="437"/>
      <c r="C7" s="437"/>
      <c r="D7" s="437"/>
      <c r="E7" s="437"/>
      <c r="F7" s="437"/>
      <c r="G7" s="437"/>
      <c r="H7" s="437"/>
      <c r="I7" s="437"/>
      <c r="J7" s="437"/>
      <c r="K7" s="437"/>
      <c r="L7" s="437"/>
      <c r="M7" s="437"/>
      <c r="N7" s="437"/>
      <c r="O7" s="437"/>
      <c r="P7" s="437"/>
      <c r="Q7" s="437"/>
    </row>
    <row r="8" spans="1:17" x14ac:dyDescent="0.25">
      <c r="A8" s="437"/>
      <c r="B8" s="437"/>
      <c r="C8" s="437"/>
      <c r="D8" s="437"/>
      <c r="E8" s="437"/>
      <c r="F8" s="437"/>
      <c r="G8" s="437"/>
      <c r="H8" s="437"/>
      <c r="I8" s="437"/>
      <c r="J8" s="437"/>
      <c r="K8" s="437"/>
      <c r="L8" s="437"/>
      <c r="M8" s="437"/>
      <c r="N8" s="437"/>
      <c r="O8" s="437"/>
      <c r="P8" s="437"/>
      <c r="Q8" s="437"/>
    </row>
    <row r="9" spans="1:17" x14ac:dyDescent="0.25">
      <c r="A9" s="105" t="s">
        <v>1767</v>
      </c>
      <c r="B9" s="106"/>
      <c r="C9" s="107"/>
      <c r="D9" s="106"/>
      <c r="E9" s="107"/>
      <c r="F9" s="106"/>
      <c r="G9" s="106"/>
      <c r="H9" s="106"/>
      <c r="I9" s="106"/>
      <c r="J9" s="106"/>
      <c r="K9" s="107"/>
      <c r="L9" s="106"/>
      <c r="M9" s="107"/>
      <c r="N9" s="106"/>
      <c r="O9" s="106"/>
      <c r="P9" s="106"/>
      <c r="Q9" s="106"/>
    </row>
    <row r="10" spans="1:17" ht="15" customHeight="1" x14ac:dyDescent="0.25">
      <c r="A10" s="109"/>
      <c r="B10" s="135" t="s">
        <v>167</v>
      </c>
      <c r="C10" s="135"/>
      <c r="D10" s="112"/>
      <c r="E10" s="112"/>
      <c r="F10" s="112"/>
      <c r="G10" s="112"/>
      <c r="H10" s="112"/>
      <c r="I10" s="112"/>
      <c r="J10" s="112"/>
      <c r="K10" s="112"/>
      <c r="L10" s="112"/>
      <c r="M10" s="112"/>
      <c r="N10" s="112"/>
      <c r="O10" s="112"/>
      <c r="P10" s="112"/>
      <c r="Q10" s="109"/>
    </row>
    <row r="11" spans="1:17" x14ac:dyDescent="0.25">
      <c r="A11" s="109"/>
      <c r="B11" s="129"/>
      <c r="C11" s="129"/>
      <c r="D11" s="129"/>
      <c r="E11" s="129"/>
      <c r="F11" s="129"/>
      <c r="G11" s="129"/>
      <c r="H11" s="129"/>
      <c r="I11" s="129"/>
      <c r="J11" s="129"/>
      <c r="K11" s="129"/>
      <c r="L11" s="129"/>
      <c r="M11" s="129"/>
      <c r="N11" s="129"/>
      <c r="O11" s="129"/>
      <c r="P11" s="129"/>
      <c r="Q11" s="109"/>
    </row>
    <row r="12" spans="1:17" ht="15" customHeight="1" x14ac:dyDescent="0.25">
      <c r="A12" s="109"/>
      <c r="B12" s="439" t="s">
        <v>150</v>
      </c>
      <c r="C12" s="439"/>
      <c r="D12" s="439"/>
      <c r="E12" s="439"/>
      <c r="F12" s="439"/>
      <c r="G12" s="439"/>
      <c r="H12" s="439"/>
      <c r="I12" s="129"/>
      <c r="J12" s="111" t="s">
        <v>1653</v>
      </c>
      <c r="K12" s="129"/>
      <c r="L12" s="439" t="s">
        <v>13</v>
      </c>
      <c r="M12" s="439"/>
      <c r="N12" s="439"/>
      <c r="O12" s="129"/>
      <c r="P12" s="129"/>
      <c r="Q12" s="109"/>
    </row>
    <row r="13" spans="1:17" x14ac:dyDescent="0.25">
      <c r="A13" s="109"/>
      <c r="B13" s="109"/>
      <c r="C13" s="109"/>
      <c r="D13" s="109"/>
      <c r="E13" s="109"/>
      <c r="F13" s="109"/>
      <c r="G13" s="109"/>
      <c r="H13" s="109"/>
      <c r="I13" s="109"/>
      <c r="J13" s="109"/>
      <c r="K13" s="109"/>
      <c r="L13" s="109"/>
      <c r="M13" s="109"/>
      <c r="N13" s="109"/>
      <c r="O13" s="109"/>
      <c r="P13" s="116" t="s">
        <v>156</v>
      </c>
      <c r="Q13" s="109"/>
    </row>
    <row r="14" spans="1:17" x14ac:dyDescent="0.25">
      <c r="B14" s="113" t="s">
        <v>152</v>
      </c>
      <c r="D14" s="118">
        <f>IF('FP-Fund #### Journal Entries'!$F$8="Governmental Fund",'FP-Fund #### Journal Entries'!$K$23,0)</f>
        <v>0</v>
      </c>
      <c r="J14" s="131">
        <f>ROUND(D14,0)</f>
        <v>0</v>
      </c>
      <c r="L14" s="132" t="str">
        <f>CONCATENATE("Balance July 1, ",MID('FP-Lease Liabilities'!J4,4,4))</f>
        <v>Balance July 1, 2024</v>
      </c>
      <c r="N14" s="131">
        <f>ROUND('FP-Lease Liabilities'!F10,0)</f>
        <v>0</v>
      </c>
      <c r="P14" s="123">
        <f>J14-N14</f>
        <v>0</v>
      </c>
    </row>
    <row r="15" spans="1:17" x14ac:dyDescent="0.25">
      <c r="B15" s="113" t="s">
        <v>164</v>
      </c>
      <c r="D15" s="118">
        <f>IF('FP-Fund #### Journal Entries'!$F$8="Governmental Fund",'FP-Fund #### Journal Entries'!$K$45,0)</f>
        <v>0</v>
      </c>
      <c r="E15" s="156" t="s">
        <v>153</v>
      </c>
      <c r="F15" s="113" t="s">
        <v>1738</v>
      </c>
      <c r="H15" s="118">
        <f>IF('FP-Fund #### Journal Entries'!$F$8="Governmental Fund",'FP-Fund #### Journal Entries'!$K$101,0)</f>
        <v>0</v>
      </c>
      <c r="J15" s="131">
        <f>ROUND(D15+H15,0)</f>
        <v>0</v>
      </c>
      <c r="L15" s="132" t="s">
        <v>14</v>
      </c>
      <c r="N15" s="131">
        <f>ROUND('FP-Lease Liabilities'!H10,0)</f>
        <v>0</v>
      </c>
      <c r="P15" s="123">
        <f>J15-N15</f>
        <v>0</v>
      </c>
    </row>
    <row r="16" spans="1:17" x14ac:dyDescent="0.25">
      <c r="B16" s="113" t="s">
        <v>159</v>
      </c>
      <c r="D16" s="118">
        <f>IF('FP-Fund #### Journal Entries'!$F$8="Governmental Fund",'FP-Fund #### Journal Entries'!$J$62,0)</f>
        <v>0</v>
      </c>
      <c r="E16" s="156" t="s">
        <v>153</v>
      </c>
      <c r="F16" s="113" t="s">
        <v>1735</v>
      </c>
      <c r="H16" s="118">
        <f>IF('FP-Fund #### Journal Entries'!$F$8="Governmental Fund",'FP-Fund #### Journal Entries'!$J$86,0)</f>
        <v>0</v>
      </c>
      <c r="J16" s="131">
        <f>ROUND(+D16+H16,0)</f>
        <v>0</v>
      </c>
      <c r="L16" s="132" t="s">
        <v>15</v>
      </c>
      <c r="N16" s="131">
        <f>ROUND('FP-Lease Liabilities'!J10,0)</f>
        <v>0</v>
      </c>
      <c r="P16" s="123">
        <f>J16-N16</f>
        <v>0</v>
      </c>
    </row>
    <row r="17" spans="2:16" x14ac:dyDescent="0.25">
      <c r="B17" s="113" t="s">
        <v>163</v>
      </c>
      <c r="D17" s="118">
        <f>IF('FP-Fund #### Journal Entries'!$F$8="Governmental Fund",'FP-Fund #### Journal Entries'!$J$67,0)</f>
        <v>0</v>
      </c>
      <c r="J17" s="131">
        <f>ROUND(+D17,0)</f>
        <v>0</v>
      </c>
      <c r="L17" s="132" t="s">
        <v>16</v>
      </c>
      <c r="N17" s="131">
        <f>ROUND('FP-Lease Liabilities'!N10,0)</f>
        <v>0</v>
      </c>
      <c r="P17" s="123">
        <f>J17-N17</f>
        <v>0</v>
      </c>
    </row>
    <row r="18" spans="2:16" x14ac:dyDescent="0.25">
      <c r="D18" s="133"/>
    </row>
    <row r="19" spans="2:16" ht="15.95" customHeight="1" x14ac:dyDescent="0.25">
      <c r="D19" s="125" t="str">
        <f>IF(OR(P14&gt;0, (P14&lt;0),P15&gt;0,P15&lt;0,P16&gt;0,P16&lt;0,P17&gt;0,P17&lt;0), "Please review and correct the variance.","")</f>
        <v/>
      </c>
    </row>
    <row r="20" spans="2:16" ht="6" customHeight="1" x14ac:dyDescent="0.25">
      <c r="D20" s="133"/>
    </row>
    <row r="21" spans="2:16" x14ac:dyDescent="0.25">
      <c r="B21" s="134" t="s">
        <v>168</v>
      </c>
      <c r="C21" s="134"/>
    </row>
    <row r="22" spans="2:16" x14ac:dyDescent="0.25">
      <c r="B22" s="134"/>
    </row>
    <row r="23" spans="2:16" ht="15" customHeight="1" x14ac:dyDescent="0.25">
      <c r="B23" s="439" t="s">
        <v>150</v>
      </c>
      <c r="C23" s="439"/>
      <c r="D23" s="439"/>
      <c r="E23" s="439"/>
      <c r="F23" s="439"/>
      <c r="G23" s="439"/>
      <c r="H23" s="439"/>
      <c r="I23" s="129"/>
      <c r="J23" s="111" t="s">
        <v>1653</v>
      </c>
      <c r="K23" s="129"/>
      <c r="L23" s="439" t="s">
        <v>13</v>
      </c>
      <c r="M23" s="439"/>
      <c r="N23" s="439"/>
    </row>
    <row r="24" spans="2:16" x14ac:dyDescent="0.25">
      <c r="L24" s="109"/>
      <c r="M24" s="109"/>
      <c r="N24" s="109"/>
      <c r="O24" s="109"/>
      <c r="P24" s="116" t="s">
        <v>156</v>
      </c>
    </row>
    <row r="25" spans="2:16" x14ac:dyDescent="0.25">
      <c r="B25" s="113" t="s">
        <v>152</v>
      </c>
      <c r="D25" s="118">
        <f>IF('FP-Fund #### Journal Entries'!$F$8="Proprietary - Internal Service Fund",'FP-Fund #### Journal Entries'!$K$23,0)</f>
        <v>0</v>
      </c>
      <c r="J25" s="131">
        <f>ROUND(D25,0)</f>
        <v>0</v>
      </c>
      <c r="L25" s="132" t="str">
        <f>CONCATENATE("Balance July 1, ",MID('FP-Lease Liabilities'!J4,4,4))</f>
        <v>Balance July 1, 2024</v>
      </c>
      <c r="N25" s="131">
        <f>ROUND('FP-Lease Liabilities'!F14,0)</f>
        <v>0</v>
      </c>
      <c r="P25" s="123">
        <f>J25-N25</f>
        <v>0</v>
      </c>
    </row>
    <row r="26" spans="2:16" x14ac:dyDescent="0.25">
      <c r="B26" s="113" t="s">
        <v>164</v>
      </c>
      <c r="D26" s="118">
        <f>IF('FP-Fund #### Journal Entries'!$F$8="Proprietary - Internal Service Fund",'FP-Fund #### Journal Entries'!$K$45,0)</f>
        <v>0</v>
      </c>
      <c r="E26" s="156" t="s">
        <v>153</v>
      </c>
      <c r="F26" s="113" t="s">
        <v>1738</v>
      </c>
      <c r="H26" s="118">
        <f>IF('FP-Fund #### Journal Entries'!$F$8="Proprietary - Internal Service Fund",'FP-Fund #### Journal Entries'!$K$101,0)</f>
        <v>0</v>
      </c>
      <c r="J26" s="131">
        <f>ROUND(D26+H26,0)</f>
        <v>0</v>
      </c>
      <c r="L26" s="132" t="s">
        <v>14</v>
      </c>
      <c r="N26" s="131">
        <f>ROUND('FP-Lease Liabilities'!H14,0)</f>
        <v>0</v>
      </c>
      <c r="P26" s="123">
        <f>J26-N26</f>
        <v>0</v>
      </c>
    </row>
    <row r="27" spans="2:16" x14ac:dyDescent="0.25">
      <c r="B27" s="113" t="s">
        <v>159</v>
      </c>
      <c r="D27" s="118">
        <f>IF('FP-Fund #### Journal Entries'!$F$8="Proprietary - Internal Service Fund",'FP-Fund #### Journal Entries'!$J$62,0)</f>
        <v>0</v>
      </c>
      <c r="E27" s="156" t="s">
        <v>153</v>
      </c>
      <c r="F27" s="113" t="s">
        <v>1735</v>
      </c>
      <c r="H27" s="118">
        <f>IF('FP-Fund #### Journal Entries'!$F$8="Proprietary - Internal Service Fund",'FP-Fund #### Journal Entries'!$J$86,0)</f>
        <v>0</v>
      </c>
      <c r="J27" s="131">
        <f>ROUND(+D27+H27,0)</f>
        <v>0</v>
      </c>
      <c r="L27" s="132" t="s">
        <v>15</v>
      </c>
      <c r="N27" s="131">
        <f>ROUND('FP-Lease Liabilities'!J14,0)</f>
        <v>0</v>
      </c>
      <c r="P27" s="123">
        <f>J27-N27</f>
        <v>0</v>
      </c>
    </row>
    <row r="28" spans="2:16" x14ac:dyDescent="0.25">
      <c r="B28" s="113" t="s">
        <v>163</v>
      </c>
      <c r="D28" s="118">
        <f>IF('FP-Fund #### Journal Entries'!$F$8="Proprietary - Internal Service Fund",'FP-Fund #### Journal Entries'!$J$67,0)</f>
        <v>0</v>
      </c>
      <c r="J28" s="131">
        <f>ROUND(+D28,0)</f>
        <v>0</v>
      </c>
      <c r="L28" s="132" t="s">
        <v>16</v>
      </c>
      <c r="N28" s="131">
        <f>ROUND('FP-Lease Liabilities'!N14,0)</f>
        <v>0</v>
      </c>
      <c r="P28" s="123">
        <f>J28-N28</f>
        <v>0</v>
      </c>
    </row>
    <row r="29" spans="2:16" x14ac:dyDescent="0.25"/>
    <row r="30" spans="2:16" x14ac:dyDescent="0.25"/>
    <row r="31" spans="2:16" ht="4.9000000000000004" customHeight="1" x14ac:dyDescent="0.25"/>
    <row r="32" spans="2:16" x14ac:dyDescent="0.25">
      <c r="B32" s="134" t="s">
        <v>169</v>
      </c>
      <c r="C32" s="134"/>
    </row>
    <row r="33" spans="2:16" x14ac:dyDescent="0.25">
      <c r="B33" s="134"/>
    </row>
    <row r="34" spans="2:16" ht="15" customHeight="1" x14ac:dyDescent="0.25">
      <c r="B34" s="439" t="s">
        <v>150</v>
      </c>
      <c r="C34" s="439"/>
      <c r="D34" s="439"/>
      <c r="E34" s="439"/>
      <c r="F34" s="439"/>
      <c r="G34" s="439"/>
      <c r="H34" s="439"/>
      <c r="I34" s="129"/>
      <c r="J34" s="111" t="s">
        <v>1653</v>
      </c>
      <c r="K34" s="129"/>
      <c r="L34" s="439" t="s">
        <v>13</v>
      </c>
      <c r="M34" s="439"/>
      <c r="N34" s="439"/>
    </row>
    <row r="35" spans="2:16" x14ac:dyDescent="0.25">
      <c r="L35" s="109"/>
      <c r="M35" s="109"/>
      <c r="N35" s="109"/>
      <c r="O35" s="109"/>
      <c r="P35" s="116" t="s">
        <v>156</v>
      </c>
    </row>
    <row r="36" spans="2:16" x14ac:dyDescent="0.25">
      <c r="B36" s="113" t="s">
        <v>152</v>
      </c>
      <c r="D36" s="118">
        <f>IF('FP-Fund #### Journal Entries'!$F$8="Proprietary - Enterprise Fund",'FP-Fund #### Journal Entries'!$K$23,0)</f>
        <v>0</v>
      </c>
      <c r="J36" s="131">
        <f>ROUND(D36,0)</f>
        <v>0</v>
      </c>
      <c r="L36" s="132" t="str">
        <f>CONCATENATE("Balance July 1, ",MID('FP-Lease Liabilities'!J4,4,4))</f>
        <v>Balance July 1, 2024</v>
      </c>
      <c r="N36" s="131">
        <f>ROUND('FP-Lease Liabilities'!F18,0)</f>
        <v>0</v>
      </c>
      <c r="P36" s="123">
        <f>J36-N36</f>
        <v>0</v>
      </c>
    </row>
    <row r="37" spans="2:16" x14ac:dyDescent="0.25">
      <c r="B37" s="113" t="s">
        <v>164</v>
      </c>
      <c r="D37" s="118">
        <f>IF('FP-Fund #### Journal Entries'!$F$8="Proprietary - Enterprise Fund",'FP-Fund #### Journal Entries'!$K$45,0)</f>
        <v>0</v>
      </c>
      <c r="E37" s="156" t="s">
        <v>153</v>
      </c>
      <c r="F37" s="113" t="s">
        <v>1738</v>
      </c>
      <c r="H37" s="118">
        <f>IF('FP-Fund #### Journal Entries'!$F$8="Proprietary - Enterprise Fund",'FP-Fund #### Journal Entries'!$K$101,0)</f>
        <v>0</v>
      </c>
      <c r="J37" s="131">
        <f>ROUND(D37+H37,0)</f>
        <v>0</v>
      </c>
      <c r="L37" s="132" t="s">
        <v>14</v>
      </c>
      <c r="N37" s="131">
        <f>ROUND('FP-Lease Liabilities'!H18,0)</f>
        <v>0</v>
      </c>
      <c r="P37" s="123">
        <f>J37-N37</f>
        <v>0</v>
      </c>
    </row>
    <row r="38" spans="2:16" x14ac:dyDescent="0.25">
      <c r="B38" s="113" t="s">
        <v>159</v>
      </c>
      <c r="D38" s="118">
        <f>IF('FP-Fund #### Journal Entries'!$F$8="Proprietary - Enterprise Fund",'FP-Fund #### Journal Entries'!$J$62,0)</f>
        <v>0</v>
      </c>
      <c r="E38" s="156" t="s">
        <v>153</v>
      </c>
      <c r="F38" s="113" t="s">
        <v>1735</v>
      </c>
      <c r="H38" s="118">
        <f>IF('FP-Fund #### Journal Entries'!$F$8="Proprietary - Enterprise Fund",'FP-Fund #### Journal Entries'!$J$86,0)</f>
        <v>0</v>
      </c>
      <c r="J38" s="131">
        <f>ROUND(+D38+H38,0)</f>
        <v>0</v>
      </c>
      <c r="L38" s="132" t="s">
        <v>15</v>
      </c>
      <c r="N38" s="131">
        <f>ROUND('FP-Lease Liabilities'!J18,0)</f>
        <v>0</v>
      </c>
      <c r="P38" s="123">
        <f>J38-N38</f>
        <v>0</v>
      </c>
    </row>
    <row r="39" spans="2:16" x14ac:dyDescent="0.25">
      <c r="B39" s="113" t="s">
        <v>163</v>
      </c>
      <c r="D39" s="118">
        <f>IF('FP-Fund #### Journal Entries'!$F$8="Proprietary - Enterprise Fund",'FP-Fund #### Journal Entries'!$J$67,0)</f>
        <v>0</v>
      </c>
      <c r="J39" s="131">
        <f>ROUND(+D39,0)</f>
        <v>0</v>
      </c>
      <c r="L39" s="132" t="s">
        <v>16</v>
      </c>
      <c r="N39" s="131">
        <f>ROUND('FP-Lease Liabilities'!N18,0)</f>
        <v>0</v>
      </c>
      <c r="P39" s="123">
        <f>J39-N39</f>
        <v>0</v>
      </c>
    </row>
    <row r="40" spans="2:16" x14ac:dyDescent="0.25"/>
    <row r="41" spans="2:16" ht="17.25" x14ac:dyDescent="0.25">
      <c r="D41" s="125" t="str">
        <f>IF(OR(P36&gt;0, (P36&lt;0),P37&gt;0,P37&lt;0,P38&gt;0,P38&lt;0,P39&gt;0,P39&lt;0), "Please review and correct the variance.","")</f>
        <v/>
      </c>
    </row>
    <row r="42" spans="2:16" x14ac:dyDescent="0.25"/>
    <row r="43" spans="2:16" x14ac:dyDescent="0.25"/>
    <row r="44" spans="2:16" x14ac:dyDescent="0.25"/>
  </sheetData>
  <sheetProtection algorithmName="SHA-512" hashValue="e5YHE7fnoyfnVLrcoDsfByDNcEyesTTIVVnJZe3SEFT6kZAs+pRnBOq01OIJ7HUYrvc7lwYqQK2sSluQ+ZJuPg==" saltValue="vr3XIgd3Oiaxz61JNE2d6Q==" spinCount="100000" sheet="1" objects="1" scenarios="1"/>
  <mergeCells count="8">
    <mergeCell ref="A5:Q6"/>
    <mergeCell ref="A7:Q8"/>
    <mergeCell ref="B34:H34"/>
    <mergeCell ref="L34:N34"/>
    <mergeCell ref="B12:H12"/>
    <mergeCell ref="L12:N12"/>
    <mergeCell ref="B23:H23"/>
    <mergeCell ref="L23:N23"/>
  </mergeCells>
  <conditionalFormatting sqref="P14:P17">
    <cfRule type="cellIs" dxfId="5" priority="9" operator="lessThan">
      <formula>0</formula>
    </cfRule>
    <cfRule type="cellIs" dxfId="4" priority="10" operator="greaterThan">
      <formula>0</formula>
    </cfRule>
  </conditionalFormatting>
  <conditionalFormatting sqref="P25:P28">
    <cfRule type="cellIs" dxfId="3" priority="3" operator="lessThan">
      <formula>0</formula>
    </cfRule>
    <cfRule type="cellIs" dxfId="2" priority="4" operator="greaterThan">
      <formula>0</formula>
    </cfRule>
  </conditionalFormatting>
  <conditionalFormatting sqref="P36:P39">
    <cfRule type="cellIs" dxfId="1" priority="1" operator="lessThan">
      <formula>0</formula>
    </cfRule>
    <cfRule type="cellIs" dxfId="0" priority="2" operator="greaterThan">
      <formula>0</formula>
    </cfRule>
  </conditionalFormatting>
  <pageMargins left="0.7" right="0.7" top="0.75" bottom="0.75" header="0.3" footer="0.3"/>
  <pageSetup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K654"/>
  <sheetViews>
    <sheetView workbookViewId="0">
      <selection activeCell="H10" sqref="H10"/>
    </sheetView>
  </sheetViews>
  <sheetFormatPr defaultColWidth="8.85546875" defaultRowHeight="15" x14ac:dyDescent="0.25"/>
  <cols>
    <col min="1" max="1" width="7.28515625" bestFit="1" customWidth="1"/>
    <col min="2" max="2" width="34.85546875" bestFit="1" customWidth="1"/>
    <col min="3" max="3" width="5.28515625" bestFit="1" customWidth="1"/>
    <col min="4" max="4" width="33.42578125" bestFit="1" customWidth="1"/>
    <col min="5" max="5" width="8.7109375" customWidth="1"/>
    <col min="6" max="9" width="5.28515625" bestFit="1" customWidth="1"/>
    <col min="10" max="10" width="12.28515625" bestFit="1" customWidth="1"/>
    <col min="11" max="11" width="10.5703125" bestFit="1" customWidth="1"/>
  </cols>
  <sheetData>
    <row r="1" spans="1:11" x14ac:dyDescent="0.25">
      <c r="A1" s="145" t="s">
        <v>217</v>
      </c>
      <c r="B1" s="145" t="s">
        <v>218</v>
      </c>
      <c r="C1" s="145" t="s">
        <v>219</v>
      </c>
      <c r="D1" s="145" t="s">
        <v>220</v>
      </c>
      <c r="E1" s="145" t="s">
        <v>221</v>
      </c>
      <c r="F1" s="145" t="s">
        <v>222</v>
      </c>
      <c r="G1" s="145" t="s">
        <v>223</v>
      </c>
      <c r="H1" s="145" t="s">
        <v>224</v>
      </c>
      <c r="I1" s="145" t="s">
        <v>225</v>
      </c>
      <c r="J1" s="145" t="s">
        <v>226</v>
      </c>
      <c r="K1" s="145" t="s">
        <v>227</v>
      </c>
    </row>
    <row r="2" spans="1:11" x14ac:dyDescent="0.25">
      <c r="A2" s="146" t="s">
        <v>228</v>
      </c>
      <c r="B2" s="146" t="s">
        <v>229</v>
      </c>
      <c r="C2" s="146" t="s">
        <v>230</v>
      </c>
      <c r="D2" s="146" t="s">
        <v>229</v>
      </c>
      <c r="E2" s="146" t="s">
        <v>231</v>
      </c>
      <c r="F2" s="146" t="s">
        <v>232</v>
      </c>
      <c r="G2" s="146" t="s">
        <v>233</v>
      </c>
      <c r="H2" s="146" t="s">
        <v>228</v>
      </c>
      <c r="I2" s="146" t="s">
        <v>228</v>
      </c>
      <c r="J2" s="146" t="s">
        <v>234</v>
      </c>
      <c r="K2" s="146" t="s">
        <v>235</v>
      </c>
    </row>
    <row r="3" spans="1:11" x14ac:dyDescent="0.25">
      <c r="A3" s="146" t="s">
        <v>236</v>
      </c>
      <c r="B3" s="146" t="s">
        <v>237</v>
      </c>
      <c r="C3" s="146" t="s">
        <v>238</v>
      </c>
      <c r="D3" s="146" t="s">
        <v>239</v>
      </c>
      <c r="E3" s="146" t="s">
        <v>231</v>
      </c>
      <c r="F3" s="146" t="s">
        <v>228</v>
      </c>
      <c r="G3" s="146" t="s">
        <v>228</v>
      </c>
      <c r="H3" s="146" t="s">
        <v>228</v>
      </c>
      <c r="I3" s="146" t="s">
        <v>228</v>
      </c>
      <c r="J3" s="146" t="s">
        <v>240</v>
      </c>
      <c r="K3" s="146" t="s">
        <v>235</v>
      </c>
    </row>
    <row r="4" spans="1:11" x14ac:dyDescent="0.25">
      <c r="A4" s="146" t="s">
        <v>241</v>
      </c>
      <c r="B4" s="146" t="s">
        <v>242</v>
      </c>
      <c r="C4" s="146" t="s">
        <v>238</v>
      </c>
      <c r="D4" s="146" t="s">
        <v>239</v>
      </c>
      <c r="E4" s="146" t="s">
        <v>231</v>
      </c>
      <c r="F4" s="146" t="s">
        <v>228</v>
      </c>
      <c r="G4" s="146" t="s">
        <v>228</v>
      </c>
      <c r="H4" s="146" t="s">
        <v>228</v>
      </c>
      <c r="I4" s="146" t="s">
        <v>228</v>
      </c>
      <c r="J4" s="146" t="s">
        <v>243</v>
      </c>
      <c r="K4" s="146" t="s">
        <v>235</v>
      </c>
    </row>
    <row r="5" spans="1:11" x14ac:dyDescent="0.25">
      <c r="A5" s="146" t="s">
        <v>244</v>
      </c>
      <c r="B5" s="146" t="s">
        <v>245</v>
      </c>
      <c r="C5" s="146" t="s">
        <v>238</v>
      </c>
      <c r="D5" s="146" t="s">
        <v>239</v>
      </c>
      <c r="E5" s="146" t="s">
        <v>231</v>
      </c>
      <c r="F5" s="146" t="s">
        <v>228</v>
      </c>
      <c r="G5" s="146" t="s">
        <v>228</v>
      </c>
      <c r="H5" s="146" t="s">
        <v>228</v>
      </c>
      <c r="I5" s="146" t="s">
        <v>228</v>
      </c>
      <c r="J5" s="146" t="s">
        <v>243</v>
      </c>
      <c r="K5" s="146" t="s">
        <v>235</v>
      </c>
    </row>
    <row r="6" spans="1:11" x14ac:dyDescent="0.25">
      <c r="A6" s="146" t="s">
        <v>246</v>
      </c>
      <c r="B6" s="146" t="s">
        <v>247</v>
      </c>
      <c r="C6" s="146" t="s">
        <v>238</v>
      </c>
      <c r="D6" s="146" t="s">
        <v>239</v>
      </c>
      <c r="E6" s="146" t="s">
        <v>231</v>
      </c>
      <c r="F6" s="146" t="s">
        <v>228</v>
      </c>
      <c r="G6" s="146" t="s">
        <v>228</v>
      </c>
      <c r="H6" s="146" t="s">
        <v>228</v>
      </c>
      <c r="I6" s="146" t="s">
        <v>228</v>
      </c>
      <c r="J6" s="146" t="s">
        <v>243</v>
      </c>
      <c r="K6" s="146" t="s">
        <v>235</v>
      </c>
    </row>
    <row r="7" spans="1:11" x14ac:dyDescent="0.25">
      <c r="A7" s="146" t="s">
        <v>248</v>
      </c>
      <c r="B7" s="146" t="s">
        <v>249</v>
      </c>
      <c r="C7" s="146" t="s">
        <v>238</v>
      </c>
      <c r="D7" s="146" t="s">
        <v>239</v>
      </c>
      <c r="E7" s="146" t="s">
        <v>231</v>
      </c>
      <c r="F7" s="146" t="s">
        <v>228</v>
      </c>
      <c r="G7" s="146" t="s">
        <v>228</v>
      </c>
      <c r="H7" s="146" t="s">
        <v>228</v>
      </c>
      <c r="I7" s="146" t="s">
        <v>228</v>
      </c>
      <c r="J7" s="146" t="s">
        <v>250</v>
      </c>
      <c r="K7" s="146" t="s">
        <v>235</v>
      </c>
    </row>
    <row r="8" spans="1:11" x14ac:dyDescent="0.25">
      <c r="A8" s="146" t="s">
        <v>251</v>
      </c>
      <c r="B8" s="146" t="s">
        <v>252</v>
      </c>
      <c r="C8" s="146" t="s">
        <v>238</v>
      </c>
      <c r="D8" s="146" t="s">
        <v>239</v>
      </c>
      <c r="E8" s="146" t="s">
        <v>231</v>
      </c>
      <c r="F8" s="146" t="s">
        <v>228</v>
      </c>
      <c r="G8" s="146" t="s">
        <v>228</v>
      </c>
      <c r="H8" s="146" t="s">
        <v>228</v>
      </c>
      <c r="I8" s="146" t="s">
        <v>228</v>
      </c>
      <c r="J8" s="146" t="s">
        <v>250</v>
      </c>
      <c r="K8" s="146" t="s">
        <v>235</v>
      </c>
    </row>
    <row r="9" spans="1:11" x14ac:dyDescent="0.25">
      <c r="A9" s="146" t="s">
        <v>253</v>
      </c>
      <c r="B9" s="146" t="s">
        <v>254</v>
      </c>
      <c r="C9" s="146" t="s">
        <v>238</v>
      </c>
      <c r="D9" s="146" t="s">
        <v>239</v>
      </c>
      <c r="E9" s="146" t="s">
        <v>231</v>
      </c>
      <c r="F9" s="146" t="s">
        <v>228</v>
      </c>
      <c r="G9" s="146" t="s">
        <v>228</v>
      </c>
      <c r="H9" s="146" t="s">
        <v>228</v>
      </c>
      <c r="I9" s="146" t="s">
        <v>228</v>
      </c>
      <c r="J9" s="146" t="s">
        <v>250</v>
      </c>
      <c r="K9" s="146" t="s">
        <v>235</v>
      </c>
    </row>
    <row r="10" spans="1:11" x14ac:dyDescent="0.25">
      <c r="A10" s="146" t="s">
        <v>255</v>
      </c>
      <c r="B10" s="146" t="s">
        <v>256</v>
      </c>
      <c r="C10" s="146" t="s">
        <v>238</v>
      </c>
      <c r="D10" s="146" t="s">
        <v>239</v>
      </c>
      <c r="E10" s="146" t="s">
        <v>231</v>
      </c>
      <c r="F10" s="146" t="s">
        <v>228</v>
      </c>
      <c r="G10" s="146" t="s">
        <v>228</v>
      </c>
      <c r="H10" s="146" t="s">
        <v>228</v>
      </c>
      <c r="I10" s="146" t="s">
        <v>228</v>
      </c>
      <c r="J10" s="146" t="s">
        <v>240</v>
      </c>
      <c r="K10" s="146" t="s">
        <v>235</v>
      </c>
    </row>
    <row r="11" spans="1:11" x14ac:dyDescent="0.25">
      <c r="A11" s="146" t="s">
        <v>257</v>
      </c>
      <c r="B11" s="146" t="s">
        <v>258</v>
      </c>
      <c r="C11" s="146" t="s">
        <v>238</v>
      </c>
      <c r="D11" s="146" t="s">
        <v>239</v>
      </c>
      <c r="E11" s="146" t="s">
        <v>231</v>
      </c>
      <c r="F11" s="146" t="s">
        <v>228</v>
      </c>
      <c r="G11" s="146" t="s">
        <v>228</v>
      </c>
      <c r="H11" s="146" t="s">
        <v>228</v>
      </c>
      <c r="I11" s="146" t="s">
        <v>228</v>
      </c>
      <c r="J11" s="146" t="s">
        <v>243</v>
      </c>
      <c r="K11" s="146" t="s">
        <v>235</v>
      </c>
    </row>
    <row r="12" spans="1:11" x14ac:dyDescent="0.25">
      <c r="A12" s="146" t="s">
        <v>259</v>
      </c>
      <c r="B12" s="146" t="s">
        <v>260</v>
      </c>
      <c r="C12" s="146" t="s">
        <v>238</v>
      </c>
      <c r="D12" s="146" t="s">
        <v>239</v>
      </c>
      <c r="E12" s="146" t="s">
        <v>231</v>
      </c>
      <c r="F12" s="146" t="s">
        <v>228</v>
      </c>
      <c r="G12" s="146" t="s">
        <v>228</v>
      </c>
      <c r="H12" s="146" t="s">
        <v>228</v>
      </c>
      <c r="I12" s="146" t="s">
        <v>228</v>
      </c>
      <c r="J12" s="146" t="s">
        <v>234</v>
      </c>
      <c r="K12" s="146" t="s">
        <v>235</v>
      </c>
    </row>
    <row r="13" spans="1:11" x14ac:dyDescent="0.25">
      <c r="A13" s="146" t="s">
        <v>261</v>
      </c>
      <c r="B13" s="146" t="s">
        <v>262</v>
      </c>
      <c r="C13" s="146" t="s">
        <v>238</v>
      </c>
      <c r="D13" s="146" t="s">
        <v>239</v>
      </c>
      <c r="E13" s="146" t="s">
        <v>231</v>
      </c>
      <c r="F13" s="146" t="s">
        <v>228</v>
      </c>
      <c r="G13" s="146" t="s">
        <v>228</v>
      </c>
      <c r="H13" s="146" t="s">
        <v>228</v>
      </c>
      <c r="I13" s="146" t="s">
        <v>228</v>
      </c>
      <c r="J13" s="146" t="s">
        <v>243</v>
      </c>
      <c r="K13" s="146" t="s">
        <v>263</v>
      </c>
    </row>
    <row r="14" spans="1:11" x14ac:dyDescent="0.25">
      <c r="A14" s="146" t="s">
        <v>264</v>
      </c>
      <c r="B14" s="146" t="s">
        <v>265</v>
      </c>
      <c r="C14" s="146" t="s">
        <v>238</v>
      </c>
      <c r="D14" s="146" t="s">
        <v>239</v>
      </c>
      <c r="E14" s="146" t="s">
        <v>231</v>
      </c>
      <c r="F14" s="146" t="s">
        <v>228</v>
      </c>
      <c r="G14" s="146" t="s">
        <v>228</v>
      </c>
      <c r="H14" s="146" t="s">
        <v>228</v>
      </c>
      <c r="I14" s="146" t="s">
        <v>228</v>
      </c>
      <c r="J14" s="146" t="s">
        <v>243</v>
      </c>
      <c r="K14" s="146" t="s">
        <v>263</v>
      </c>
    </row>
    <row r="15" spans="1:11" x14ac:dyDescent="0.25">
      <c r="A15" s="146" t="s">
        <v>266</v>
      </c>
      <c r="B15" s="146" t="s">
        <v>267</v>
      </c>
      <c r="C15" s="146" t="s">
        <v>238</v>
      </c>
      <c r="D15" s="146" t="s">
        <v>239</v>
      </c>
      <c r="E15" s="146" t="s">
        <v>231</v>
      </c>
      <c r="F15" s="146" t="s">
        <v>228</v>
      </c>
      <c r="G15" s="146" t="s">
        <v>228</v>
      </c>
      <c r="H15" s="146" t="s">
        <v>228</v>
      </c>
      <c r="I15" s="146" t="s">
        <v>228</v>
      </c>
      <c r="J15" s="146" t="s">
        <v>243</v>
      </c>
      <c r="K15" s="146" t="s">
        <v>235</v>
      </c>
    </row>
    <row r="16" spans="1:11" x14ac:dyDescent="0.25">
      <c r="A16" s="146" t="s">
        <v>268</v>
      </c>
      <c r="B16" s="146" t="s">
        <v>269</v>
      </c>
      <c r="C16" s="146" t="s">
        <v>238</v>
      </c>
      <c r="D16" s="146" t="s">
        <v>239</v>
      </c>
      <c r="E16" s="146" t="s">
        <v>231</v>
      </c>
      <c r="F16" s="146" t="s">
        <v>228</v>
      </c>
      <c r="G16" s="146" t="s">
        <v>228</v>
      </c>
      <c r="H16" s="146" t="s">
        <v>228</v>
      </c>
      <c r="I16" s="146" t="s">
        <v>228</v>
      </c>
      <c r="J16" s="146" t="s">
        <v>270</v>
      </c>
      <c r="K16" s="146" t="s">
        <v>235</v>
      </c>
    </row>
    <row r="17" spans="1:11" x14ac:dyDescent="0.25">
      <c r="A17" s="146" t="s">
        <v>271</v>
      </c>
      <c r="B17" s="146" t="s">
        <v>272</v>
      </c>
      <c r="C17" s="146" t="s">
        <v>238</v>
      </c>
      <c r="D17" s="146" t="s">
        <v>239</v>
      </c>
      <c r="E17" s="146" t="s">
        <v>231</v>
      </c>
      <c r="F17" s="146" t="s">
        <v>228</v>
      </c>
      <c r="G17" s="146" t="s">
        <v>228</v>
      </c>
      <c r="H17" s="146" t="s">
        <v>228</v>
      </c>
      <c r="I17" s="146" t="s">
        <v>228</v>
      </c>
      <c r="J17" s="146" t="s">
        <v>234</v>
      </c>
      <c r="K17" s="146" t="s">
        <v>235</v>
      </c>
    </row>
    <row r="18" spans="1:11" x14ac:dyDescent="0.25">
      <c r="A18" s="146" t="s">
        <v>273</v>
      </c>
      <c r="B18" s="146" t="s">
        <v>274</v>
      </c>
      <c r="C18" s="146" t="s">
        <v>238</v>
      </c>
      <c r="D18" s="146" t="s">
        <v>239</v>
      </c>
      <c r="E18" s="146" t="s">
        <v>231</v>
      </c>
      <c r="F18" s="146" t="s">
        <v>228</v>
      </c>
      <c r="G18" s="146" t="s">
        <v>228</v>
      </c>
      <c r="H18" s="146" t="s">
        <v>228</v>
      </c>
      <c r="I18" s="146" t="s">
        <v>228</v>
      </c>
      <c r="J18" s="146" t="s">
        <v>234</v>
      </c>
      <c r="K18" s="146" t="s">
        <v>235</v>
      </c>
    </row>
    <row r="19" spans="1:11" x14ac:dyDescent="0.25">
      <c r="A19" s="146" t="s">
        <v>275</v>
      </c>
      <c r="B19" s="146" t="s">
        <v>276</v>
      </c>
      <c r="C19" s="146" t="s">
        <v>238</v>
      </c>
      <c r="D19" s="146" t="s">
        <v>239</v>
      </c>
      <c r="E19" s="146" t="s">
        <v>231</v>
      </c>
      <c r="F19" s="146" t="s">
        <v>228</v>
      </c>
      <c r="G19" s="146" t="s">
        <v>228</v>
      </c>
      <c r="H19" s="146" t="s">
        <v>228</v>
      </c>
      <c r="I19" s="146" t="s">
        <v>228</v>
      </c>
      <c r="J19" s="146" t="s">
        <v>234</v>
      </c>
      <c r="K19" s="146" t="s">
        <v>235</v>
      </c>
    </row>
    <row r="20" spans="1:11" x14ac:dyDescent="0.25">
      <c r="A20" s="146" t="s">
        <v>277</v>
      </c>
      <c r="B20" s="146" t="s">
        <v>278</v>
      </c>
      <c r="C20" s="146" t="s">
        <v>238</v>
      </c>
      <c r="D20" s="146" t="s">
        <v>239</v>
      </c>
      <c r="E20" s="146" t="s">
        <v>231</v>
      </c>
      <c r="F20" s="146" t="s">
        <v>228</v>
      </c>
      <c r="G20" s="146" t="s">
        <v>228</v>
      </c>
      <c r="H20" s="146" t="s">
        <v>228</v>
      </c>
      <c r="I20" s="146" t="s">
        <v>228</v>
      </c>
      <c r="J20" s="146" t="s">
        <v>240</v>
      </c>
      <c r="K20" s="146" t="s">
        <v>235</v>
      </c>
    </row>
    <row r="21" spans="1:11" x14ac:dyDescent="0.25">
      <c r="A21" s="146" t="s">
        <v>279</v>
      </c>
      <c r="B21" s="146" t="s">
        <v>280</v>
      </c>
      <c r="C21" s="146" t="s">
        <v>238</v>
      </c>
      <c r="D21" s="146" t="s">
        <v>239</v>
      </c>
      <c r="E21" s="146" t="s">
        <v>231</v>
      </c>
      <c r="F21" s="146" t="s">
        <v>228</v>
      </c>
      <c r="G21" s="146" t="s">
        <v>228</v>
      </c>
      <c r="H21" s="146" t="s">
        <v>228</v>
      </c>
      <c r="I21" s="146" t="s">
        <v>228</v>
      </c>
      <c r="J21" s="146" t="s">
        <v>281</v>
      </c>
      <c r="K21" s="146" t="s">
        <v>235</v>
      </c>
    </row>
    <row r="22" spans="1:11" x14ac:dyDescent="0.25">
      <c r="A22" s="146" t="s">
        <v>282</v>
      </c>
      <c r="B22" s="146" t="s">
        <v>283</v>
      </c>
      <c r="C22" s="146" t="s">
        <v>238</v>
      </c>
      <c r="D22" s="146" t="s">
        <v>239</v>
      </c>
      <c r="E22" s="146" t="s">
        <v>231</v>
      </c>
      <c r="F22" s="146" t="s">
        <v>228</v>
      </c>
      <c r="G22" s="146" t="s">
        <v>228</v>
      </c>
      <c r="H22" s="146" t="s">
        <v>228</v>
      </c>
      <c r="I22" s="146" t="s">
        <v>228</v>
      </c>
      <c r="J22" s="146" t="s">
        <v>284</v>
      </c>
      <c r="K22" s="146" t="s">
        <v>235</v>
      </c>
    </row>
    <row r="23" spans="1:11" x14ac:dyDescent="0.25">
      <c r="A23" s="146" t="s">
        <v>285</v>
      </c>
      <c r="B23" s="146" t="s">
        <v>286</v>
      </c>
      <c r="C23" s="146" t="s">
        <v>238</v>
      </c>
      <c r="D23" s="146" t="s">
        <v>239</v>
      </c>
      <c r="E23" s="146" t="s">
        <v>231</v>
      </c>
      <c r="F23" s="146" t="s">
        <v>228</v>
      </c>
      <c r="G23" s="146" t="s">
        <v>228</v>
      </c>
      <c r="H23" s="146" t="s">
        <v>228</v>
      </c>
      <c r="I23" s="146" t="s">
        <v>228</v>
      </c>
      <c r="J23" s="146" t="s">
        <v>234</v>
      </c>
      <c r="K23" s="146" t="s">
        <v>235</v>
      </c>
    </row>
    <row r="24" spans="1:11" x14ac:dyDescent="0.25">
      <c r="A24" s="146" t="s">
        <v>287</v>
      </c>
      <c r="B24" s="146" t="s">
        <v>288</v>
      </c>
      <c r="C24" s="146" t="s">
        <v>238</v>
      </c>
      <c r="D24" s="146" t="s">
        <v>239</v>
      </c>
      <c r="E24" s="146" t="s">
        <v>231</v>
      </c>
      <c r="F24" s="146" t="s">
        <v>228</v>
      </c>
      <c r="G24" s="146" t="s">
        <v>228</v>
      </c>
      <c r="H24" s="146" t="s">
        <v>228</v>
      </c>
      <c r="I24" s="146" t="s">
        <v>228</v>
      </c>
      <c r="J24" s="146" t="s">
        <v>240</v>
      </c>
      <c r="K24" s="146" t="s">
        <v>235</v>
      </c>
    </row>
    <row r="25" spans="1:11" x14ac:dyDescent="0.25">
      <c r="A25" s="146" t="s">
        <v>289</v>
      </c>
      <c r="B25" s="146" t="s">
        <v>290</v>
      </c>
      <c r="C25" s="146" t="s">
        <v>238</v>
      </c>
      <c r="D25" s="146" t="s">
        <v>239</v>
      </c>
      <c r="E25" s="146" t="s">
        <v>231</v>
      </c>
      <c r="F25" s="146" t="s">
        <v>228</v>
      </c>
      <c r="G25" s="146" t="s">
        <v>228</v>
      </c>
      <c r="H25" s="146" t="s">
        <v>228</v>
      </c>
      <c r="I25" s="146" t="s">
        <v>228</v>
      </c>
      <c r="J25" s="146" t="s">
        <v>234</v>
      </c>
      <c r="K25" s="146" t="s">
        <v>235</v>
      </c>
    </row>
    <row r="26" spans="1:11" x14ac:dyDescent="0.25">
      <c r="A26" s="146" t="s">
        <v>291</v>
      </c>
      <c r="B26" s="146" t="s">
        <v>292</v>
      </c>
      <c r="C26" s="146" t="s">
        <v>238</v>
      </c>
      <c r="D26" s="146" t="s">
        <v>239</v>
      </c>
      <c r="E26" s="146" t="s">
        <v>231</v>
      </c>
      <c r="F26" s="146" t="s">
        <v>228</v>
      </c>
      <c r="G26" s="146" t="s">
        <v>228</v>
      </c>
      <c r="H26" s="146" t="s">
        <v>228</v>
      </c>
      <c r="I26" s="146" t="s">
        <v>228</v>
      </c>
      <c r="J26" s="146" t="s">
        <v>240</v>
      </c>
      <c r="K26" s="146" t="s">
        <v>235</v>
      </c>
    </row>
    <row r="27" spans="1:11" x14ac:dyDescent="0.25">
      <c r="A27" s="146" t="s">
        <v>293</v>
      </c>
      <c r="B27" s="146" t="s">
        <v>294</v>
      </c>
      <c r="C27" s="146" t="s">
        <v>238</v>
      </c>
      <c r="D27" s="146" t="s">
        <v>239</v>
      </c>
      <c r="E27" s="146" t="s">
        <v>231</v>
      </c>
      <c r="F27" s="146" t="s">
        <v>228</v>
      </c>
      <c r="G27" s="146" t="s">
        <v>228</v>
      </c>
      <c r="H27" s="146" t="s">
        <v>228</v>
      </c>
      <c r="I27" s="146" t="s">
        <v>228</v>
      </c>
      <c r="J27" s="146" t="s">
        <v>234</v>
      </c>
      <c r="K27" s="146" t="s">
        <v>235</v>
      </c>
    </row>
    <row r="28" spans="1:11" x14ac:dyDescent="0.25">
      <c r="A28" s="146" t="s">
        <v>295</v>
      </c>
      <c r="B28" s="146" t="s">
        <v>296</v>
      </c>
      <c r="C28" s="146" t="s">
        <v>238</v>
      </c>
      <c r="D28" s="146" t="s">
        <v>239</v>
      </c>
      <c r="E28" s="146" t="s">
        <v>231</v>
      </c>
      <c r="F28" s="146" t="s">
        <v>228</v>
      </c>
      <c r="G28" s="146" t="s">
        <v>228</v>
      </c>
      <c r="H28" s="146" t="s">
        <v>228</v>
      </c>
      <c r="I28" s="146" t="s">
        <v>228</v>
      </c>
      <c r="J28" s="146" t="s">
        <v>234</v>
      </c>
      <c r="K28" s="146" t="s">
        <v>235</v>
      </c>
    </row>
    <row r="29" spans="1:11" x14ac:dyDescent="0.25">
      <c r="A29" s="146" t="s">
        <v>297</v>
      </c>
      <c r="B29" s="146" t="s">
        <v>298</v>
      </c>
      <c r="C29" s="146" t="s">
        <v>238</v>
      </c>
      <c r="D29" s="146" t="s">
        <v>239</v>
      </c>
      <c r="E29" s="146" t="s">
        <v>231</v>
      </c>
      <c r="F29" s="146" t="s">
        <v>228</v>
      </c>
      <c r="G29" s="146" t="s">
        <v>228</v>
      </c>
      <c r="H29" s="146" t="s">
        <v>228</v>
      </c>
      <c r="I29" s="146" t="s">
        <v>228</v>
      </c>
      <c r="J29" s="146" t="s">
        <v>240</v>
      </c>
      <c r="K29" s="146" t="s">
        <v>235</v>
      </c>
    </row>
    <row r="30" spans="1:11" x14ac:dyDescent="0.25">
      <c r="A30" s="146" t="s">
        <v>299</v>
      </c>
      <c r="B30" s="146" t="s">
        <v>300</v>
      </c>
      <c r="C30" s="146" t="s">
        <v>238</v>
      </c>
      <c r="D30" s="146" t="s">
        <v>239</v>
      </c>
      <c r="E30" s="146" t="s">
        <v>231</v>
      </c>
      <c r="F30" s="146" t="s">
        <v>228</v>
      </c>
      <c r="G30" s="146" t="s">
        <v>228</v>
      </c>
      <c r="H30" s="146" t="s">
        <v>228</v>
      </c>
      <c r="I30" s="146" t="s">
        <v>228</v>
      </c>
      <c r="J30" s="146" t="s">
        <v>240</v>
      </c>
      <c r="K30" s="146" t="s">
        <v>235</v>
      </c>
    </row>
    <row r="31" spans="1:11" x14ac:dyDescent="0.25">
      <c r="A31" s="146" t="s">
        <v>301</v>
      </c>
      <c r="B31" s="146" t="s">
        <v>302</v>
      </c>
      <c r="C31" s="146" t="s">
        <v>238</v>
      </c>
      <c r="D31" s="146" t="s">
        <v>239</v>
      </c>
      <c r="E31" s="146" t="s">
        <v>231</v>
      </c>
      <c r="F31" s="146" t="s">
        <v>228</v>
      </c>
      <c r="G31" s="146" t="s">
        <v>228</v>
      </c>
      <c r="H31" s="146" t="s">
        <v>228</v>
      </c>
      <c r="I31" s="146" t="s">
        <v>228</v>
      </c>
      <c r="J31" s="146" t="s">
        <v>240</v>
      </c>
      <c r="K31" s="146" t="s">
        <v>235</v>
      </c>
    </row>
    <row r="32" spans="1:11" x14ac:dyDescent="0.25">
      <c r="A32" s="146" t="s">
        <v>303</v>
      </c>
      <c r="B32" s="146" t="s">
        <v>304</v>
      </c>
      <c r="C32" s="146" t="s">
        <v>238</v>
      </c>
      <c r="D32" s="146" t="s">
        <v>239</v>
      </c>
      <c r="E32" s="146" t="s">
        <v>231</v>
      </c>
      <c r="F32" s="146" t="s">
        <v>228</v>
      </c>
      <c r="G32" s="146" t="s">
        <v>228</v>
      </c>
      <c r="H32" s="146" t="s">
        <v>228</v>
      </c>
      <c r="I32" s="146" t="s">
        <v>228</v>
      </c>
      <c r="J32" s="146" t="s">
        <v>240</v>
      </c>
      <c r="K32" s="146" t="s">
        <v>235</v>
      </c>
    </row>
    <row r="33" spans="1:11" x14ac:dyDescent="0.25">
      <c r="A33" s="146" t="s">
        <v>305</v>
      </c>
      <c r="B33" s="146" t="s">
        <v>306</v>
      </c>
      <c r="C33" s="146" t="s">
        <v>238</v>
      </c>
      <c r="D33" s="146" t="s">
        <v>239</v>
      </c>
      <c r="E33" s="146" t="s">
        <v>231</v>
      </c>
      <c r="F33" s="146" t="s">
        <v>228</v>
      </c>
      <c r="G33" s="146" t="s">
        <v>228</v>
      </c>
      <c r="H33" s="146" t="s">
        <v>228</v>
      </c>
      <c r="I33" s="146" t="s">
        <v>228</v>
      </c>
      <c r="J33" s="146" t="s">
        <v>240</v>
      </c>
      <c r="K33" s="146" t="s">
        <v>235</v>
      </c>
    </row>
    <row r="34" spans="1:11" x14ac:dyDescent="0.25">
      <c r="A34" s="146" t="s">
        <v>307</v>
      </c>
      <c r="B34" s="146" t="s">
        <v>308</v>
      </c>
      <c r="C34" s="146" t="s">
        <v>238</v>
      </c>
      <c r="D34" s="146" t="s">
        <v>239</v>
      </c>
      <c r="E34" s="146" t="s">
        <v>231</v>
      </c>
      <c r="F34" s="146" t="s">
        <v>228</v>
      </c>
      <c r="G34" s="146" t="s">
        <v>228</v>
      </c>
      <c r="H34" s="146" t="s">
        <v>228</v>
      </c>
      <c r="I34" s="146" t="s">
        <v>228</v>
      </c>
      <c r="J34" s="146" t="s">
        <v>243</v>
      </c>
      <c r="K34" s="146" t="s">
        <v>235</v>
      </c>
    </row>
    <row r="35" spans="1:11" x14ac:dyDescent="0.25">
      <c r="A35" s="146" t="s">
        <v>309</v>
      </c>
      <c r="B35" s="146" t="s">
        <v>310</v>
      </c>
      <c r="C35" s="146" t="s">
        <v>238</v>
      </c>
      <c r="D35" s="146" t="s">
        <v>239</v>
      </c>
      <c r="E35" s="146" t="s">
        <v>231</v>
      </c>
      <c r="F35" s="146" t="s">
        <v>228</v>
      </c>
      <c r="G35" s="146" t="s">
        <v>228</v>
      </c>
      <c r="H35" s="146" t="s">
        <v>228</v>
      </c>
      <c r="I35" s="146" t="s">
        <v>228</v>
      </c>
      <c r="J35" s="146" t="s">
        <v>250</v>
      </c>
      <c r="K35" s="146" t="s">
        <v>235</v>
      </c>
    </row>
    <row r="36" spans="1:11" x14ac:dyDescent="0.25">
      <c r="A36" s="146" t="s">
        <v>311</v>
      </c>
      <c r="B36" s="146" t="s">
        <v>312</v>
      </c>
      <c r="C36" s="146" t="s">
        <v>238</v>
      </c>
      <c r="D36" s="146" t="s">
        <v>313</v>
      </c>
      <c r="E36" s="146" t="s">
        <v>231</v>
      </c>
      <c r="F36" s="146" t="s">
        <v>228</v>
      </c>
      <c r="G36" s="146" t="s">
        <v>228</v>
      </c>
      <c r="H36" s="146" t="s">
        <v>228</v>
      </c>
      <c r="I36" s="146" t="s">
        <v>228</v>
      </c>
      <c r="J36" s="146" t="s">
        <v>314</v>
      </c>
      <c r="K36" s="146" t="s">
        <v>235</v>
      </c>
    </row>
    <row r="37" spans="1:11" x14ac:dyDescent="0.25">
      <c r="A37" s="146" t="s">
        <v>315</v>
      </c>
      <c r="B37" s="146" t="s">
        <v>316</v>
      </c>
      <c r="C37" s="146" t="s">
        <v>238</v>
      </c>
      <c r="D37" s="146" t="s">
        <v>239</v>
      </c>
      <c r="E37" s="146" t="s">
        <v>231</v>
      </c>
      <c r="F37" s="146" t="s">
        <v>228</v>
      </c>
      <c r="G37" s="146" t="s">
        <v>228</v>
      </c>
      <c r="H37" s="146" t="s">
        <v>228</v>
      </c>
      <c r="I37" s="146" t="s">
        <v>228</v>
      </c>
      <c r="J37" s="146" t="s">
        <v>317</v>
      </c>
      <c r="K37" s="146" t="s">
        <v>235</v>
      </c>
    </row>
    <row r="38" spans="1:11" x14ac:dyDescent="0.25">
      <c r="A38" s="146" t="s">
        <v>318</v>
      </c>
      <c r="B38" s="146" t="s">
        <v>319</v>
      </c>
      <c r="C38" s="146" t="s">
        <v>238</v>
      </c>
      <c r="D38" s="146" t="s">
        <v>239</v>
      </c>
      <c r="E38" s="146" t="s">
        <v>231</v>
      </c>
      <c r="F38" s="146" t="s">
        <v>228</v>
      </c>
      <c r="G38" s="146" t="s">
        <v>228</v>
      </c>
      <c r="H38" s="146" t="s">
        <v>228</v>
      </c>
      <c r="I38" s="146" t="s">
        <v>228</v>
      </c>
      <c r="J38" s="146" t="s">
        <v>320</v>
      </c>
      <c r="K38" s="146" t="s">
        <v>235</v>
      </c>
    </row>
    <row r="39" spans="1:11" x14ac:dyDescent="0.25">
      <c r="A39" s="146" t="s">
        <v>321</v>
      </c>
      <c r="B39" s="146" t="s">
        <v>322</v>
      </c>
      <c r="C39" s="146" t="s">
        <v>323</v>
      </c>
      <c r="D39" s="146" t="s">
        <v>324</v>
      </c>
      <c r="E39" s="146" t="s">
        <v>231</v>
      </c>
      <c r="F39" s="146" t="s">
        <v>228</v>
      </c>
      <c r="G39" s="146" t="s">
        <v>228</v>
      </c>
      <c r="H39" s="146" t="s">
        <v>228</v>
      </c>
      <c r="I39" s="146" t="s">
        <v>228</v>
      </c>
      <c r="J39" s="146" t="s">
        <v>325</v>
      </c>
      <c r="K39" s="146" t="s">
        <v>235</v>
      </c>
    </row>
    <row r="40" spans="1:11" x14ac:dyDescent="0.25">
      <c r="A40" s="146" t="s">
        <v>326</v>
      </c>
      <c r="B40" s="146" t="s">
        <v>327</v>
      </c>
      <c r="C40" s="146" t="s">
        <v>328</v>
      </c>
      <c r="D40" s="146" t="s">
        <v>329</v>
      </c>
      <c r="E40" s="146" t="s">
        <v>231</v>
      </c>
      <c r="F40" s="146" t="s">
        <v>228</v>
      </c>
      <c r="G40" s="146" t="s">
        <v>228</v>
      </c>
      <c r="H40" s="146" t="s">
        <v>228</v>
      </c>
      <c r="I40" s="146" t="s">
        <v>228</v>
      </c>
      <c r="J40" s="146" t="s">
        <v>325</v>
      </c>
      <c r="K40" s="146" t="s">
        <v>235</v>
      </c>
    </row>
    <row r="41" spans="1:11" x14ac:dyDescent="0.25">
      <c r="A41" s="146" t="s">
        <v>330</v>
      </c>
      <c r="B41" s="146" t="s">
        <v>331</v>
      </c>
      <c r="C41" s="146" t="s">
        <v>332</v>
      </c>
      <c r="D41" s="146" t="s">
        <v>333</v>
      </c>
      <c r="E41" s="146" t="s">
        <v>231</v>
      </c>
      <c r="F41" s="146" t="s">
        <v>228</v>
      </c>
      <c r="G41" s="146" t="s">
        <v>228</v>
      </c>
      <c r="H41" s="146" t="s">
        <v>228</v>
      </c>
      <c r="I41" s="146" t="s">
        <v>228</v>
      </c>
      <c r="J41" s="146" t="s">
        <v>314</v>
      </c>
      <c r="K41" s="146" t="s">
        <v>235</v>
      </c>
    </row>
    <row r="42" spans="1:11" x14ac:dyDescent="0.25">
      <c r="A42" s="146" t="s">
        <v>334</v>
      </c>
      <c r="B42" s="146" t="s">
        <v>335</v>
      </c>
      <c r="C42" s="146" t="s">
        <v>332</v>
      </c>
      <c r="D42" s="146" t="s">
        <v>333</v>
      </c>
      <c r="E42" s="146" t="s">
        <v>231</v>
      </c>
      <c r="F42" s="146" t="s">
        <v>228</v>
      </c>
      <c r="G42" s="146" t="s">
        <v>228</v>
      </c>
      <c r="H42" s="146" t="s">
        <v>228</v>
      </c>
      <c r="I42" s="146" t="s">
        <v>228</v>
      </c>
      <c r="J42" s="146" t="s">
        <v>314</v>
      </c>
      <c r="K42" s="146" t="s">
        <v>235</v>
      </c>
    </row>
    <row r="43" spans="1:11" x14ac:dyDescent="0.25">
      <c r="A43" s="146" t="s">
        <v>336</v>
      </c>
      <c r="B43" s="146" t="s">
        <v>337</v>
      </c>
      <c r="C43" s="146" t="s">
        <v>338</v>
      </c>
      <c r="D43" s="146" t="s">
        <v>339</v>
      </c>
      <c r="E43" s="146" t="s">
        <v>231</v>
      </c>
      <c r="F43" s="146" t="s">
        <v>228</v>
      </c>
      <c r="G43" s="146" t="s">
        <v>228</v>
      </c>
      <c r="H43" s="146" t="s">
        <v>228</v>
      </c>
      <c r="I43" s="146" t="s">
        <v>228</v>
      </c>
      <c r="J43" s="146" t="s">
        <v>340</v>
      </c>
      <c r="K43" s="146" t="s">
        <v>341</v>
      </c>
    </row>
    <row r="44" spans="1:11" x14ac:dyDescent="0.25">
      <c r="A44" s="146" t="s">
        <v>342</v>
      </c>
      <c r="B44" s="146" t="s">
        <v>343</v>
      </c>
      <c r="C44" s="146" t="s">
        <v>344</v>
      </c>
      <c r="D44" s="146" t="s">
        <v>345</v>
      </c>
      <c r="E44" s="146" t="s">
        <v>231</v>
      </c>
      <c r="F44" s="146" t="s">
        <v>228</v>
      </c>
      <c r="G44" s="146" t="s">
        <v>228</v>
      </c>
      <c r="H44" s="146" t="s">
        <v>228</v>
      </c>
      <c r="I44" s="146" t="s">
        <v>228</v>
      </c>
      <c r="J44" s="146" t="s">
        <v>314</v>
      </c>
      <c r="K44" s="146" t="s">
        <v>341</v>
      </c>
    </row>
    <row r="45" spans="1:11" x14ac:dyDescent="0.25">
      <c r="A45" s="146" t="s">
        <v>346</v>
      </c>
      <c r="B45" s="146" t="s">
        <v>347</v>
      </c>
      <c r="C45" s="146" t="s">
        <v>238</v>
      </c>
      <c r="D45" s="146" t="s">
        <v>239</v>
      </c>
      <c r="E45" s="146" t="s">
        <v>231</v>
      </c>
      <c r="F45" s="146" t="s">
        <v>228</v>
      </c>
      <c r="G45" s="146" t="s">
        <v>228</v>
      </c>
      <c r="H45" s="146" t="s">
        <v>228</v>
      </c>
      <c r="I45" s="146" t="s">
        <v>228</v>
      </c>
      <c r="J45" s="146" t="s">
        <v>281</v>
      </c>
      <c r="K45" s="146" t="s">
        <v>235</v>
      </c>
    </row>
    <row r="46" spans="1:11" x14ac:dyDescent="0.25">
      <c r="A46" s="146" t="s">
        <v>348</v>
      </c>
      <c r="B46" s="146" t="s">
        <v>349</v>
      </c>
      <c r="C46" s="146" t="s">
        <v>238</v>
      </c>
      <c r="D46" s="146" t="s">
        <v>239</v>
      </c>
      <c r="E46" s="146" t="s">
        <v>231</v>
      </c>
      <c r="F46" s="146" t="s">
        <v>228</v>
      </c>
      <c r="G46" s="146" t="s">
        <v>228</v>
      </c>
      <c r="H46" s="146" t="s">
        <v>228</v>
      </c>
      <c r="I46" s="146" t="s">
        <v>228</v>
      </c>
      <c r="J46" s="146" t="s">
        <v>350</v>
      </c>
      <c r="K46" s="146" t="s">
        <v>235</v>
      </c>
    </row>
    <row r="47" spans="1:11" x14ac:dyDescent="0.25">
      <c r="A47" s="146" t="s">
        <v>351</v>
      </c>
      <c r="B47" s="146" t="s">
        <v>352</v>
      </c>
      <c r="C47" s="146" t="s">
        <v>338</v>
      </c>
      <c r="D47" s="146" t="s">
        <v>339</v>
      </c>
      <c r="E47" s="146" t="s">
        <v>231</v>
      </c>
      <c r="F47" s="146" t="s">
        <v>228</v>
      </c>
      <c r="G47" s="146" t="s">
        <v>228</v>
      </c>
      <c r="H47" s="146" t="s">
        <v>228</v>
      </c>
      <c r="I47" s="146" t="s">
        <v>228</v>
      </c>
      <c r="J47" s="146" t="s">
        <v>340</v>
      </c>
      <c r="K47" s="146" t="s">
        <v>235</v>
      </c>
    </row>
    <row r="48" spans="1:11" x14ac:dyDescent="0.25">
      <c r="A48" s="146" t="s">
        <v>353</v>
      </c>
      <c r="B48" s="146" t="s">
        <v>354</v>
      </c>
      <c r="C48" s="146" t="s">
        <v>355</v>
      </c>
      <c r="D48" s="146" t="s">
        <v>356</v>
      </c>
      <c r="E48" s="146" t="s">
        <v>231</v>
      </c>
      <c r="F48" s="146" t="s">
        <v>228</v>
      </c>
      <c r="G48" s="146" t="s">
        <v>228</v>
      </c>
      <c r="H48" s="146" t="s">
        <v>228</v>
      </c>
      <c r="I48" s="146" t="s">
        <v>228</v>
      </c>
      <c r="J48" s="146" t="s">
        <v>314</v>
      </c>
      <c r="K48" s="146" t="s">
        <v>235</v>
      </c>
    </row>
    <row r="49" spans="1:11" x14ac:dyDescent="0.25">
      <c r="A49" s="146" t="s">
        <v>357</v>
      </c>
      <c r="B49" s="146" t="s">
        <v>358</v>
      </c>
      <c r="C49" s="146" t="s">
        <v>332</v>
      </c>
      <c r="D49" s="146" t="s">
        <v>333</v>
      </c>
      <c r="E49" s="146" t="s">
        <v>231</v>
      </c>
      <c r="F49" s="146" t="s">
        <v>228</v>
      </c>
      <c r="G49" s="146" t="s">
        <v>228</v>
      </c>
      <c r="H49" s="146" t="s">
        <v>228</v>
      </c>
      <c r="I49" s="146" t="s">
        <v>228</v>
      </c>
      <c r="J49" s="146" t="s">
        <v>314</v>
      </c>
      <c r="K49" s="146" t="s">
        <v>235</v>
      </c>
    </row>
    <row r="50" spans="1:11" x14ac:dyDescent="0.25">
      <c r="A50" s="146" t="s">
        <v>359</v>
      </c>
      <c r="B50" s="146" t="s">
        <v>360</v>
      </c>
      <c r="C50" s="146" t="s">
        <v>238</v>
      </c>
      <c r="D50" s="146" t="s">
        <v>239</v>
      </c>
      <c r="E50" s="146" t="s">
        <v>231</v>
      </c>
      <c r="F50" s="146" t="s">
        <v>228</v>
      </c>
      <c r="G50" s="146" t="s">
        <v>228</v>
      </c>
      <c r="H50" s="146" t="s">
        <v>228</v>
      </c>
      <c r="I50" s="146" t="s">
        <v>228</v>
      </c>
      <c r="J50" s="146" t="s">
        <v>240</v>
      </c>
      <c r="K50" s="146" t="s">
        <v>235</v>
      </c>
    </row>
    <row r="51" spans="1:11" x14ac:dyDescent="0.25">
      <c r="A51" s="146" t="s">
        <v>361</v>
      </c>
      <c r="B51" s="146" t="s">
        <v>362</v>
      </c>
      <c r="C51" s="146" t="s">
        <v>238</v>
      </c>
      <c r="D51" s="146" t="s">
        <v>239</v>
      </c>
      <c r="E51" s="146" t="s">
        <v>231</v>
      </c>
      <c r="F51" s="146" t="s">
        <v>228</v>
      </c>
      <c r="G51" s="146" t="s">
        <v>228</v>
      </c>
      <c r="H51" s="146" t="s">
        <v>228</v>
      </c>
      <c r="I51" s="146" t="s">
        <v>228</v>
      </c>
      <c r="J51" s="146" t="s">
        <v>240</v>
      </c>
      <c r="K51" s="146" t="s">
        <v>235</v>
      </c>
    </row>
    <row r="52" spans="1:11" x14ac:dyDescent="0.25">
      <c r="A52" s="146" t="s">
        <v>363</v>
      </c>
      <c r="B52" s="146" t="s">
        <v>364</v>
      </c>
      <c r="C52" s="146" t="s">
        <v>238</v>
      </c>
      <c r="D52" s="146" t="s">
        <v>239</v>
      </c>
      <c r="E52" s="146" t="s">
        <v>231</v>
      </c>
      <c r="F52" s="146" t="s">
        <v>228</v>
      </c>
      <c r="G52" s="146" t="s">
        <v>228</v>
      </c>
      <c r="H52" s="146" t="s">
        <v>228</v>
      </c>
      <c r="I52" s="146" t="s">
        <v>228</v>
      </c>
      <c r="J52" s="146" t="s">
        <v>240</v>
      </c>
      <c r="K52" s="146" t="s">
        <v>235</v>
      </c>
    </row>
    <row r="53" spans="1:11" x14ac:dyDescent="0.25">
      <c r="A53" s="146" t="s">
        <v>365</v>
      </c>
      <c r="B53" s="146" t="s">
        <v>366</v>
      </c>
      <c r="C53" s="146" t="s">
        <v>238</v>
      </c>
      <c r="D53" s="146" t="s">
        <v>239</v>
      </c>
      <c r="E53" s="146" t="s">
        <v>231</v>
      </c>
      <c r="F53" s="146" t="s">
        <v>228</v>
      </c>
      <c r="G53" s="146" t="s">
        <v>228</v>
      </c>
      <c r="H53" s="146" t="s">
        <v>228</v>
      </c>
      <c r="I53" s="146" t="s">
        <v>228</v>
      </c>
      <c r="J53" s="146" t="s">
        <v>240</v>
      </c>
      <c r="K53" s="146" t="s">
        <v>235</v>
      </c>
    </row>
    <row r="54" spans="1:11" x14ac:dyDescent="0.25">
      <c r="A54" s="146" t="s">
        <v>367</v>
      </c>
      <c r="B54" s="146" t="s">
        <v>368</v>
      </c>
      <c r="C54" s="146" t="s">
        <v>238</v>
      </c>
      <c r="D54" s="146" t="s">
        <v>239</v>
      </c>
      <c r="E54" s="146" t="s">
        <v>231</v>
      </c>
      <c r="F54" s="146" t="s">
        <v>228</v>
      </c>
      <c r="G54" s="146" t="s">
        <v>228</v>
      </c>
      <c r="H54" s="146" t="s">
        <v>228</v>
      </c>
      <c r="I54" s="146" t="s">
        <v>228</v>
      </c>
      <c r="J54" s="146" t="s">
        <v>243</v>
      </c>
      <c r="K54" s="146" t="s">
        <v>235</v>
      </c>
    </row>
    <row r="55" spans="1:11" x14ac:dyDescent="0.25">
      <c r="A55" s="146" t="s">
        <v>369</v>
      </c>
      <c r="B55" s="146" t="s">
        <v>370</v>
      </c>
      <c r="C55" s="146" t="s">
        <v>238</v>
      </c>
      <c r="D55" s="146" t="s">
        <v>239</v>
      </c>
      <c r="E55" s="146" t="s">
        <v>231</v>
      </c>
      <c r="F55" s="146" t="s">
        <v>228</v>
      </c>
      <c r="G55" s="146" t="s">
        <v>228</v>
      </c>
      <c r="H55" s="146" t="s">
        <v>228</v>
      </c>
      <c r="I55" s="146" t="s">
        <v>228</v>
      </c>
      <c r="J55" s="146" t="s">
        <v>243</v>
      </c>
      <c r="K55" s="146" t="s">
        <v>371</v>
      </c>
    </row>
    <row r="56" spans="1:11" x14ac:dyDescent="0.25">
      <c r="A56" s="146" t="s">
        <v>372</v>
      </c>
      <c r="B56" s="146" t="s">
        <v>373</v>
      </c>
      <c r="C56" s="146" t="s">
        <v>238</v>
      </c>
      <c r="D56" s="146" t="s">
        <v>239</v>
      </c>
      <c r="E56" s="146" t="s">
        <v>231</v>
      </c>
      <c r="F56" s="146" t="s">
        <v>228</v>
      </c>
      <c r="G56" s="146" t="s">
        <v>228</v>
      </c>
      <c r="H56" s="146" t="s">
        <v>228</v>
      </c>
      <c r="I56" s="146" t="s">
        <v>228</v>
      </c>
      <c r="J56" s="146" t="s">
        <v>240</v>
      </c>
      <c r="K56" s="146" t="s">
        <v>235</v>
      </c>
    </row>
    <row r="57" spans="1:11" x14ac:dyDescent="0.25">
      <c r="A57" s="146" t="s">
        <v>374</v>
      </c>
      <c r="B57" s="146" t="s">
        <v>375</v>
      </c>
      <c r="C57" s="146" t="s">
        <v>238</v>
      </c>
      <c r="D57" s="146" t="s">
        <v>239</v>
      </c>
      <c r="E57" s="146" t="s">
        <v>231</v>
      </c>
      <c r="F57" s="146" t="s">
        <v>228</v>
      </c>
      <c r="G57" s="146" t="s">
        <v>228</v>
      </c>
      <c r="H57" s="146" t="s">
        <v>228</v>
      </c>
      <c r="I57" s="146" t="s">
        <v>228</v>
      </c>
      <c r="J57" s="146" t="s">
        <v>240</v>
      </c>
      <c r="K57" s="146" t="s">
        <v>341</v>
      </c>
    </row>
    <row r="58" spans="1:11" x14ac:dyDescent="0.25">
      <c r="A58" s="146" t="s">
        <v>376</v>
      </c>
      <c r="B58" s="146" t="s">
        <v>377</v>
      </c>
      <c r="C58" s="146" t="s">
        <v>238</v>
      </c>
      <c r="D58" s="146" t="s">
        <v>239</v>
      </c>
      <c r="E58" s="146" t="s">
        <v>231</v>
      </c>
      <c r="F58" s="146" t="s">
        <v>228</v>
      </c>
      <c r="G58" s="146" t="s">
        <v>228</v>
      </c>
      <c r="H58" s="146" t="s">
        <v>228</v>
      </c>
      <c r="I58" s="146" t="s">
        <v>228</v>
      </c>
      <c r="J58" s="146" t="s">
        <v>243</v>
      </c>
      <c r="K58" s="146" t="s">
        <v>235</v>
      </c>
    </row>
    <row r="59" spans="1:11" x14ac:dyDescent="0.25">
      <c r="A59" s="146" t="s">
        <v>378</v>
      </c>
      <c r="B59" s="146" t="s">
        <v>379</v>
      </c>
      <c r="C59" s="146" t="s">
        <v>238</v>
      </c>
      <c r="D59" s="146" t="s">
        <v>239</v>
      </c>
      <c r="E59" s="146" t="s">
        <v>231</v>
      </c>
      <c r="F59" s="146" t="s">
        <v>228</v>
      </c>
      <c r="G59" s="146" t="s">
        <v>228</v>
      </c>
      <c r="H59" s="146" t="s">
        <v>228</v>
      </c>
      <c r="I59" s="146" t="s">
        <v>228</v>
      </c>
      <c r="J59" s="146" t="s">
        <v>380</v>
      </c>
      <c r="K59" s="146" t="s">
        <v>235</v>
      </c>
    </row>
    <row r="60" spans="1:11" x14ac:dyDescent="0.25">
      <c r="A60" s="146" t="s">
        <v>381</v>
      </c>
      <c r="B60" s="146" t="s">
        <v>382</v>
      </c>
      <c r="C60" s="146" t="s">
        <v>238</v>
      </c>
      <c r="D60" s="146" t="s">
        <v>239</v>
      </c>
      <c r="E60" s="146" t="s">
        <v>231</v>
      </c>
      <c r="F60" s="146" t="s">
        <v>228</v>
      </c>
      <c r="G60" s="146" t="s">
        <v>228</v>
      </c>
      <c r="H60" s="146" t="s">
        <v>228</v>
      </c>
      <c r="I60" s="146" t="s">
        <v>228</v>
      </c>
      <c r="J60" s="146" t="s">
        <v>383</v>
      </c>
      <c r="K60" s="146" t="s">
        <v>341</v>
      </c>
    </row>
    <row r="61" spans="1:11" x14ac:dyDescent="0.25">
      <c r="A61" s="146" t="s">
        <v>384</v>
      </c>
      <c r="B61" s="146" t="s">
        <v>385</v>
      </c>
      <c r="C61" s="146" t="s">
        <v>238</v>
      </c>
      <c r="D61" s="146" t="s">
        <v>239</v>
      </c>
      <c r="E61" s="146" t="s">
        <v>231</v>
      </c>
      <c r="F61" s="146" t="s">
        <v>228</v>
      </c>
      <c r="G61" s="146" t="s">
        <v>228</v>
      </c>
      <c r="H61" s="146" t="s">
        <v>228</v>
      </c>
      <c r="I61" s="146" t="s">
        <v>228</v>
      </c>
      <c r="J61" s="146" t="s">
        <v>386</v>
      </c>
      <c r="K61" s="146" t="s">
        <v>235</v>
      </c>
    </row>
    <row r="62" spans="1:11" x14ac:dyDescent="0.25">
      <c r="A62" s="146" t="s">
        <v>387</v>
      </c>
      <c r="B62" s="146" t="s">
        <v>388</v>
      </c>
      <c r="C62" s="146" t="s">
        <v>238</v>
      </c>
      <c r="D62" s="146" t="s">
        <v>239</v>
      </c>
      <c r="E62" s="146" t="s">
        <v>231</v>
      </c>
      <c r="F62" s="146" t="s">
        <v>228</v>
      </c>
      <c r="G62" s="146" t="s">
        <v>228</v>
      </c>
      <c r="H62" s="146" t="s">
        <v>228</v>
      </c>
      <c r="I62" s="146" t="s">
        <v>228</v>
      </c>
      <c r="J62" s="146" t="s">
        <v>389</v>
      </c>
      <c r="K62" s="146" t="s">
        <v>235</v>
      </c>
    </row>
    <row r="63" spans="1:11" x14ac:dyDescent="0.25">
      <c r="A63" s="146" t="s">
        <v>390</v>
      </c>
      <c r="B63" s="146" t="s">
        <v>391</v>
      </c>
      <c r="C63" s="146" t="s">
        <v>238</v>
      </c>
      <c r="D63" s="146" t="s">
        <v>239</v>
      </c>
      <c r="E63" s="146" t="s">
        <v>231</v>
      </c>
      <c r="F63" s="146" t="s">
        <v>228</v>
      </c>
      <c r="G63" s="146" t="s">
        <v>228</v>
      </c>
      <c r="H63" s="146" t="s">
        <v>228</v>
      </c>
      <c r="I63" s="146" t="s">
        <v>228</v>
      </c>
      <c r="J63" s="146" t="s">
        <v>234</v>
      </c>
      <c r="K63" s="146" t="s">
        <v>235</v>
      </c>
    </row>
    <row r="64" spans="1:11" x14ac:dyDescent="0.25">
      <c r="A64" s="146" t="s">
        <v>392</v>
      </c>
      <c r="B64" s="146" t="s">
        <v>393</v>
      </c>
      <c r="C64" s="146" t="s">
        <v>238</v>
      </c>
      <c r="D64" s="146" t="s">
        <v>239</v>
      </c>
      <c r="E64" s="146" t="s">
        <v>231</v>
      </c>
      <c r="F64" s="146" t="s">
        <v>228</v>
      </c>
      <c r="G64" s="146" t="s">
        <v>228</v>
      </c>
      <c r="H64" s="146" t="s">
        <v>228</v>
      </c>
      <c r="I64" s="146" t="s">
        <v>228</v>
      </c>
      <c r="J64" s="146" t="s">
        <v>240</v>
      </c>
      <c r="K64" s="146" t="s">
        <v>235</v>
      </c>
    </row>
    <row r="65" spans="1:11" x14ac:dyDescent="0.25">
      <c r="A65" s="146" t="s">
        <v>394</v>
      </c>
      <c r="B65" s="146" t="s">
        <v>395</v>
      </c>
      <c r="C65" s="146" t="s">
        <v>238</v>
      </c>
      <c r="D65" s="146" t="s">
        <v>239</v>
      </c>
      <c r="E65" s="146" t="s">
        <v>231</v>
      </c>
      <c r="F65" s="146" t="s">
        <v>228</v>
      </c>
      <c r="G65" s="146" t="s">
        <v>228</v>
      </c>
      <c r="H65" s="146" t="s">
        <v>228</v>
      </c>
      <c r="I65" s="146" t="s">
        <v>228</v>
      </c>
      <c r="J65" s="146" t="s">
        <v>240</v>
      </c>
      <c r="K65" s="146" t="s">
        <v>235</v>
      </c>
    </row>
    <row r="66" spans="1:11" x14ac:dyDescent="0.25">
      <c r="A66" s="146" t="s">
        <v>396</v>
      </c>
      <c r="B66" s="146" t="s">
        <v>397</v>
      </c>
      <c r="C66" s="146" t="s">
        <v>238</v>
      </c>
      <c r="D66" s="146" t="s">
        <v>239</v>
      </c>
      <c r="E66" s="146" t="s">
        <v>231</v>
      </c>
      <c r="F66" s="146" t="s">
        <v>228</v>
      </c>
      <c r="G66" s="146" t="s">
        <v>228</v>
      </c>
      <c r="H66" s="146" t="s">
        <v>228</v>
      </c>
      <c r="I66" s="146" t="s">
        <v>228</v>
      </c>
      <c r="J66" s="146" t="s">
        <v>240</v>
      </c>
      <c r="K66" s="146" t="s">
        <v>341</v>
      </c>
    </row>
    <row r="67" spans="1:11" x14ac:dyDescent="0.25">
      <c r="A67" s="146" t="s">
        <v>398</v>
      </c>
      <c r="B67" s="146" t="s">
        <v>399</v>
      </c>
      <c r="C67" s="146" t="s">
        <v>238</v>
      </c>
      <c r="D67" s="146" t="s">
        <v>239</v>
      </c>
      <c r="E67" s="146" t="s">
        <v>231</v>
      </c>
      <c r="F67" s="146" t="s">
        <v>228</v>
      </c>
      <c r="G67" s="146" t="s">
        <v>228</v>
      </c>
      <c r="H67" s="146" t="s">
        <v>228</v>
      </c>
      <c r="I67" s="146" t="s">
        <v>228</v>
      </c>
      <c r="J67" s="146" t="s">
        <v>240</v>
      </c>
      <c r="K67" s="146" t="s">
        <v>235</v>
      </c>
    </row>
    <row r="68" spans="1:11" x14ac:dyDescent="0.25">
      <c r="A68" s="146" t="s">
        <v>338</v>
      </c>
      <c r="B68" s="146" t="s">
        <v>400</v>
      </c>
      <c r="C68" s="146" t="s">
        <v>238</v>
      </c>
      <c r="D68" s="146" t="s">
        <v>239</v>
      </c>
      <c r="E68" s="146" t="s">
        <v>231</v>
      </c>
      <c r="F68" s="146" t="s">
        <v>228</v>
      </c>
      <c r="G68" s="146" t="s">
        <v>228</v>
      </c>
      <c r="H68" s="146" t="s">
        <v>228</v>
      </c>
      <c r="I68" s="146" t="s">
        <v>228</v>
      </c>
      <c r="J68" s="146" t="s">
        <v>234</v>
      </c>
      <c r="K68" s="146" t="s">
        <v>235</v>
      </c>
    </row>
    <row r="69" spans="1:11" x14ac:dyDescent="0.25">
      <c r="A69" s="146" t="s">
        <v>323</v>
      </c>
      <c r="B69" s="146" t="s">
        <v>401</v>
      </c>
      <c r="C69" s="146" t="s">
        <v>238</v>
      </c>
      <c r="D69" s="146" t="s">
        <v>239</v>
      </c>
      <c r="E69" s="146" t="s">
        <v>231</v>
      </c>
      <c r="F69" s="146" t="s">
        <v>228</v>
      </c>
      <c r="G69" s="146" t="s">
        <v>228</v>
      </c>
      <c r="H69" s="146" t="s">
        <v>228</v>
      </c>
      <c r="I69" s="146" t="s">
        <v>228</v>
      </c>
      <c r="J69" s="146" t="s">
        <v>389</v>
      </c>
      <c r="K69" s="146" t="s">
        <v>235</v>
      </c>
    </row>
    <row r="70" spans="1:11" x14ac:dyDescent="0.25">
      <c r="A70" s="146" t="s">
        <v>402</v>
      </c>
      <c r="B70" s="146" t="s">
        <v>403</v>
      </c>
      <c r="C70" s="146" t="s">
        <v>238</v>
      </c>
      <c r="D70" s="146" t="s">
        <v>239</v>
      </c>
      <c r="E70" s="146" t="s">
        <v>231</v>
      </c>
      <c r="F70" s="146" t="s">
        <v>228</v>
      </c>
      <c r="G70" s="146" t="s">
        <v>228</v>
      </c>
      <c r="H70" s="146" t="s">
        <v>228</v>
      </c>
      <c r="I70" s="146" t="s">
        <v>228</v>
      </c>
      <c r="J70" s="146" t="s">
        <v>234</v>
      </c>
      <c r="K70" s="146" t="s">
        <v>235</v>
      </c>
    </row>
    <row r="71" spans="1:11" x14ac:dyDescent="0.25">
      <c r="A71" s="146" t="s">
        <v>404</v>
      </c>
      <c r="B71" s="146" t="s">
        <v>405</v>
      </c>
      <c r="C71" s="146" t="s">
        <v>238</v>
      </c>
      <c r="D71" s="146" t="s">
        <v>239</v>
      </c>
      <c r="E71" s="146" t="s">
        <v>231</v>
      </c>
      <c r="F71" s="146" t="s">
        <v>228</v>
      </c>
      <c r="G71" s="146" t="s">
        <v>228</v>
      </c>
      <c r="H71" s="146" t="s">
        <v>228</v>
      </c>
      <c r="I71" s="146" t="s">
        <v>228</v>
      </c>
      <c r="J71" s="146" t="s">
        <v>270</v>
      </c>
      <c r="K71" s="146" t="s">
        <v>235</v>
      </c>
    </row>
    <row r="72" spans="1:11" x14ac:dyDescent="0.25">
      <c r="A72" s="146" t="s">
        <v>406</v>
      </c>
      <c r="B72" s="146" t="s">
        <v>407</v>
      </c>
      <c r="C72" s="146" t="s">
        <v>238</v>
      </c>
      <c r="D72" s="146" t="s">
        <v>239</v>
      </c>
      <c r="E72" s="146" t="s">
        <v>231</v>
      </c>
      <c r="F72" s="146" t="s">
        <v>228</v>
      </c>
      <c r="G72" s="146" t="s">
        <v>228</v>
      </c>
      <c r="H72" s="146" t="s">
        <v>228</v>
      </c>
      <c r="I72" s="146" t="s">
        <v>228</v>
      </c>
      <c r="J72" s="146" t="s">
        <v>408</v>
      </c>
      <c r="K72" s="146" t="s">
        <v>235</v>
      </c>
    </row>
    <row r="73" spans="1:11" x14ac:dyDescent="0.25">
      <c r="A73" s="146" t="s">
        <v>409</v>
      </c>
      <c r="B73" s="146" t="s">
        <v>410</v>
      </c>
      <c r="C73" s="146" t="s">
        <v>238</v>
      </c>
      <c r="D73" s="146" t="s">
        <v>239</v>
      </c>
      <c r="E73" s="146" t="s">
        <v>231</v>
      </c>
      <c r="F73" s="146" t="s">
        <v>228</v>
      </c>
      <c r="G73" s="146" t="s">
        <v>228</v>
      </c>
      <c r="H73" s="146" t="s">
        <v>228</v>
      </c>
      <c r="I73" s="146" t="s">
        <v>228</v>
      </c>
      <c r="J73" s="146" t="s">
        <v>240</v>
      </c>
      <c r="K73" s="146" t="s">
        <v>341</v>
      </c>
    </row>
    <row r="74" spans="1:11" x14ac:dyDescent="0.25">
      <c r="A74" s="146" t="s">
        <v>411</v>
      </c>
      <c r="B74" s="146" t="s">
        <v>412</v>
      </c>
      <c r="C74" s="146" t="s">
        <v>238</v>
      </c>
      <c r="D74" s="146" t="s">
        <v>239</v>
      </c>
      <c r="E74" s="146" t="s">
        <v>231</v>
      </c>
      <c r="F74" s="146" t="s">
        <v>228</v>
      </c>
      <c r="G74" s="146" t="s">
        <v>228</v>
      </c>
      <c r="H74" s="146" t="s">
        <v>228</v>
      </c>
      <c r="I74" s="146" t="s">
        <v>228</v>
      </c>
      <c r="J74" s="146" t="s">
        <v>325</v>
      </c>
      <c r="K74" s="146" t="s">
        <v>235</v>
      </c>
    </row>
    <row r="75" spans="1:11" x14ac:dyDescent="0.25">
      <c r="A75" s="146" t="s">
        <v>413</v>
      </c>
      <c r="B75" s="146" t="s">
        <v>414</v>
      </c>
      <c r="C75" s="146" t="s">
        <v>238</v>
      </c>
      <c r="D75" s="146" t="s">
        <v>239</v>
      </c>
      <c r="E75" s="146" t="s">
        <v>231</v>
      </c>
      <c r="F75" s="146" t="s">
        <v>228</v>
      </c>
      <c r="G75" s="146" t="s">
        <v>228</v>
      </c>
      <c r="H75" s="146" t="s">
        <v>228</v>
      </c>
      <c r="I75" s="146" t="s">
        <v>228</v>
      </c>
      <c r="J75" s="146" t="s">
        <v>234</v>
      </c>
      <c r="K75" s="146" t="s">
        <v>235</v>
      </c>
    </row>
    <row r="76" spans="1:11" x14ac:dyDescent="0.25">
      <c r="A76" s="146" t="s">
        <v>415</v>
      </c>
      <c r="B76" s="146" t="s">
        <v>416</v>
      </c>
      <c r="C76" s="146" t="s">
        <v>238</v>
      </c>
      <c r="D76" s="146" t="s">
        <v>239</v>
      </c>
      <c r="E76" s="146" t="s">
        <v>231</v>
      </c>
      <c r="F76" s="146" t="s">
        <v>228</v>
      </c>
      <c r="G76" s="146" t="s">
        <v>228</v>
      </c>
      <c r="H76" s="146" t="s">
        <v>228</v>
      </c>
      <c r="I76" s="146" t="s">
        <v>228</v>
      </c>
      <c r="J76" s="146" t="s">
        <v>417</v>
      </c>
      <c r="K76" s="146" t="s">
        <v>235</v>
      </c>
    </row>
    <row r="77" spans="1:11" x14ac:dyDescent="0.25">
      <c r="A77" s="146" t="s">
        <v>418</v>
      </c>
      <c r="B77" s="146" t="s">
        <v>419</v>
      </c>
      <c r="C77" s="146" t="s">
        <v>238</v>
      </c>
      <c r="D77" s="146" t="s">
        <v>239</v>
      </c>
      <c r="E77" s="146" t="s">
        <v>231</v>
      </c>
      <c r="F77" s="146" t="s">
        <v>228</v>
      </c>
      <c r="G77" s="146" t="s">
        <v>228</v>
      </c>
      <c r="H77" s="146" t="s">
        <v>228</v>
      </c>
      <c r="I77" s="146" t="s">
        <v>228</v>
      </c>
      <c r="J77" s="146" t="s">
        <v>234</v>
      </c>
      <c r="K77" s="146" t="s">
        <v>235</v>
      </c>
    </row>
    <row r="78" spans="1:11" x14ac:dyDescent="0.25">
      <c r="A78" s="146" t="s">
        <v>420</v>
      </c>
      <c r="B78" s="146" t="s">
        <v>421</v>
      </c>
      <c r="C78" s="146" t="s">
        <v>238</v>
      </c>
      <c r="D78" s="146" t="s">
        <v>239</v>
      </c>
      <c r="E78" s="146" t="s">
        <v>231</v>
      </c>
      <c r="F78" s="146" t="s">
        <v>228</v>
      </c>
      <c r="G78" s="146" t="s">
        <v>228</v>
      </c>
      <c r="H78" s="146" t="s">
        <v>228</v>
      </c>
      <c r="I78" s="146" t="s">
        <v>228</v>
      </c>
      <c r="J78" s="146" t="s">
        <v>422</v>
      </c>
      <c r="K78" s="146" t="s">
        <v>235</v>
      </c>
    </row>
    <row r="79" spans="1:11" x14ac:dyDescent="0.25">
      <c r="A79" s="146" t="s">
        <v>423</v>
      </c>
      <c r="B79" s="146" t="s">
        <v>424</v>
      </c>
      <c r="C79" s="146" t="s">
        <v>238</v>
      </c>
      <c r="D79" s="146" t="s">
        <v>239</v>
      </c>
      <c r="E79" s="146" t="s">
        <v>231</v>
      </c>
      <c r="F79" s="146" t="s">
        <v>228</v>
      </c>
      <c r="G79" s="146" t="s">
        <v>228</v>
      </c>
      <c r="H79" s="146" t="s">
        <v>228</v>
      </c>
      <c r="I79" s="146" t="s">
        <v>228</v>
      </c>
      <c r="J79" s="146" t="s">
        <v>425</v>
      </c>
      <c r="K79" s="146" t="s">
        <v>341</v>
      </c>
    </row>
    <row r="80" spans="1:11" x14ac:dyDescent="0.25">
      <c r="A80" s="146" t="s">
        <v>426</v>
      </c>
      <c r="B80" s="146" t="s">
        <v>427</v>
      </c>
      <c r="C80" s="146" t="s">
        <v>238</v>
      </c>
      <c r="D80" s="146" t="s">
        <v>239</v>
      </c>
      <c r="E80" s="146" t="s">
        <v>231</v>
      </c>
      <c r="F80" s="146" t="s">
        <v>228</v>
      </c>
      <c r="G80" s="146" t="s">
        <v>228</v>
      </c>
      <c r="H80" s="146" t="s">
        <v>228</v>
      </c>
      <c r="I80" s="146" t="s">
        <v>228</v>
      </c>
      <c r="J80" s="146" t="s">
        <v>240</v>
      </c>
      <c r="K80" s="146" t="s">
        <v>235</v>
      </c>
    </row>
    <row r="81" spans="1:11" x14ac:dyDescent="0.25">
      <c r="A81" s="146" t="s">
        <v>428</v>
      </c>
      <c r="B81" s="146" t="s">
        <v>429</v>
      </c>
      <c r="C81" s="146" t="s">
        <v>355</v>
      </c>
      <c r="D81" s="146" t="s">
        <v>430</v>
      </c>
      <c r="E81" s="146" t="s">
        <v>231</v>
      </c>
      <c r="F81" s="146" t="s">
        <v>228</v>
      </c>
      <c r="G81" s="146" t="s">
        <v>228</v>
      </c>
      <c r="H81" s="146" t="s">
        <v>228</v>
      </c>
      <c r="I81" s="146" t="s">
        <v>228</v>
      </c>
      <c r="J81" s="146" t="s">
        <v>340</v>
      </c>
      <c r="K81" s="146" t="s">
        <v>235</v>
      </c>
    </row>
    <row r="82" spans="1:11" x14ac:dyDescent="0.25">
      <c r="A82" s="146" t="s">
        <v>431</v>
      </c>
      <c r="B82" s="146" t="s">
        <v>432</v>
      </c>
      <c r="C82" s="146" t="s">
        <v>238</v>
      </c>
      <c r="D82" s="146" t="s">
        <v>239</v>
      </c>
      <c r="E82" s="146" t="s">
        <v>231</v>
      </c>
      <c r="F82" s="146" t="s">
        <v>228</v>
      </c>
      <c r="G82" s="146" t="s">
        <v>228</v>
      </c>
      <c r="H82" s="146" t="s">
        <v>228</v>
      </c>
      <c r="I82" s="146" t="s">
        <v>228</v>
      </c>
      <c r="J82" s="146" t="s">
        <v>240</v>
      </c>
      <c r="K82" s="146" t="s">
        <v>235</v>
      </c>
    </row>
    <row r="83" spans="1:11" x14ac:dyDescent="0.25">
      <c r="A83" s="146" t="s">
        <v>433</v>
      </c>
      <c r="B83" s="146" t="s">
        <v>434</v>
      </c>
      <c r="C83" s="146" t="s">
        <v>238</v>
      </c>
      <c r="D83" s="146" t="s">
        <v>239</v>
      </c>
      <c r="E83" s="146" t="s">
        <v>231</v>
      </c>
      <c r="F83" s="146" t="s">
        <v>228</v>
      </c>
      <c r="G83" s="146" t="s">
        <v>228</v>
      </c>
      <c r="H83" s="146" t="s">
        <v>228</v>
      </c>
      <c r="I83" s="146" t="s">
        <v>228</v>
      </c>
      <c r="J83" s="146" t="s">
        <v>240</v>
      </c>
      <c r="K83" s="146" t="s">
        <v>235</v>
      </c>
    </row>
    <row r="84" spans="1:11" x14ac:dyDescent="0.25">
      <c r="A84" s="146" t="s">
        <v>435</v>
      </c>
      <c r="B84" s="146" t="s">
        <v>436</v>
      </c>
      <c r="C84" s="146" t="s">
        <v>238</v>
      </c>
      <c r="D84" s="146" t="s">
        <v>239</v>
      </c>
      <c r="E84" s="146" t="s">
        <v>231</v>
      </c>
      <c r="F84" s="146" t="s">
        <v>228</v>
      </c>
      <c r="G84" s="146" t="s">
        <v>228</v>
      </c>
      <c r="H84" s="146" t="s">
        <v>228</v>
      </c>
      <c r="I84" s="146" t="s">
        <v>228</v>
      </c>
      <c r="J84" s="146" t="s">
        <v>240</v>
      </c>
      <c r="K84" s="146" t="s">
        <v>235</v>
      </c>
    </row>
    <row r="85" spans="1:11" x14ac:dyDescent="0.25">
      <c r="A85" s="146" t="s">
        <v>437</v>
      </c>
      <c r="B85" s="146" t="s">
        <v>438</v>
      </c>
      <c r="C85" s="146" t="s">
        <v>238</v>
      </c>
      <c r="D85" s="146" t="s">
        <v>239</v>
      </c>
      <c r="E85" s="146" t="s">
        <v>231</v>
      </c>
      <c r="F85" s="146" t="s">
        <v>228</v>
      </c>
      <c r="G85" s="146" t="s">
        <v>228</v>
      </c>
      <c r="H85" s="146" t="s">
        <v>228</v>
      </c>
      <c r="I85" s="146" t="s">
        <v>228</v>
      </c>
      <c r="J85" s="146" t="s">
        <v>243</v>
      </c>
      <c r="K85" s="146" t="s">
        <v>263</v>
      </c>
    </row>
    <row r="86" spans="1:11" x14ac:dyDescent="0.25">
      <c r="A86" s="146" t="s">
        <v>439</v>
      </c>
      <c r="B86" s="146" t="s">
        <v>440</v>
      </c>
      <c r="C86" s="146" t="s">
        <v>238</v>
      </c>
      <c r="D86" s="146" t="s">
        <v>239</v>
      </c>
      <c r="E86" s="146" t="s">
        <v>231</v>
      </c>
      <c r="F86" s="146" t="s">
        <v>228</v>
      </c>
      <c r="G86" s="146" t="s">
        <v>228</v>
      </c>
      <c r="H86" s="146" t="s">
        <v>228</v>
      </c>
      <c r="I86" s="146" t="s">
        <v>228</v>
      </c>
      <c r="J86" s="146" t="s">
        <v>240</v>
      </c>
      <c r="K86" s="146" t="s">
        <v>235</v>
      </c>
    </row>
    <row r="87" spans="1:11" x14ac:dyDescent="0.25">
      <c r="A87" s="146" t="s">
        <v>441</v>
      </c>
      <c r="B87" s="146" t="s">
        <v>442</v>
      </c>
      <c r="C87" s="146" t="s">
        <v>238</v>
      </c>
      <c r="D87" s="146" t="s">
        <v>239</v>
      </c>
      <c r="E87" s="146" t="s">
        <v>231</v>
      </c>
      <c r="F87" s="146" t="s">
        <v>228</v>
      </c>
      <c r="G87" s="146" t="s">
        <v>228</v>
      </c>
      <c r="H87" s="146" t="s">
        <v>228</v>
      </c>
      <c r="I87" s="146" t="s">
        <v>228</v>
      </c>
      <c r="J87" s="146" t="s">
        <v>422</v>
      </c>
      <c r="K87" s="146" t="s">
        <v>235</v>
      </c>
    </row>
    <row r="88" spans="1:11" x14ac:dyDescent="0.25">
      <c r="A88" s="146" t="s">
        <v>443</v>
      </c>
      <c r="B88" s="146" t="s">
        <v>444</v>
      </c>
      <c r="C88" s="146" t="s">
        <v>238</v>
      </c>
      <c r="D88" s="146" t="s">
        <v>239</v>
      </c>
      <c r="E88" s="146" t="s">
        <v>231</v>
      </c>
      <c r="F88" s="146" t="s">
        <v>228</v>
      </c>
      <c r="G88" s="146" t="s">
        <v>228</v>
      </c>
      <c r="H88" s="146" t="s">
        <v>228</v>
      </c>
      <c r="I88" s="146" t="s">
        <v>228</v>
      </c>
      <c r="J88" s="146" t="s">
        <v>240</v>
      </c>
      <c r="K88" s="146" t="s">
        <v>235</v>
      </c>
    </row>
    <row r="89" spans="1:11" x14ac:dyDescent="0.25">
      <c r="A89" s="146" t="s">
        <v>445</v>
      </c>
      <c r="B89" s="146" t="s">
        <v>446</v>
      </c>
      <c r="C89" s="146" t="s">
        <v>238</v>
      </c>
      <c r="D89" s="146" t="s">
        <v>239</v>
      </c>
      <c r="E89" s="146" t="s">
        <v>231</v>
      </c>
      <c r="F89" s="146" t="s">
        <v>228</v>
      </c>
      <c r="G89" s="146" t="s">
        <v>228</v>
      </c>
      <c r="H89" s="146" t="s">
        <v>228</v>
      </c>
      <c r="I89" s="146" t="s">
        <v>228</v>
      </c>
      <c r="J89" s="146" t="s">
        <v>240</v>
      </c>
      <c r="K89" s="146" t="s">
        <v>235</v>
      </c>
    </row>
    <row r="90" spans="1:11" x14ac:dyDescent="0.25">
      <c r="A90" s="146" t="s">
        <v>447</v>
      </c>
      <c r="B90" s="146" t="s">
        <v>434</v>
      </c>
      <c r="C90" s="146" t="s">
        <v>238</v>
      </c>
      <c r="D90" s="146" t="s">
        <v>239</v>
      </c>
      <c r="E90" s="146" t="s">
        <v>231</v>
      </c>
      <c r="F90" s="146" t="s">
        <v>228</v>
      </c>
      <c r="G90" s="146" t="s">
        <v>228</v>
      </c>
      <c r="H90" s="146" t="s">
        <v>228</v>
      </c>
      <c r="I90" s="146" t="s">
        <v>228</v>
      </c>
      <c r="J90" s="146" t="s">
        <v>243</v>
      </c>
      <c r="K90" s="146" t="s">
        <v>263</v>
      </c>
    </row>
    <row r="91" spans="1:11" x14ac:dyDescent="0.25">
      <c r="A91" s="146" t="s">
        <v>448</v>
      </c>
      <c r="B91" s="146" t="s">
        <v>449</v>
      </c>
      <c r="C91" s="146" t="s">
        <v>238</v>
      </c>
      <c r="D91" s="146" t="s">
        <v>239</v>
      </c>
      <c r="E91" s="146" t="s">
        <v>231</v>
      </c>
      <c r="F91" s="146" t="s">
        <v>228</v>
      </c>
      <c r="G91" s="146" t="s">
        <v>228</v>
      </c>
      <c r="H91" s="146" t="s">
        <v>228</v>
      </c>
      <c r="I91" s="146" t="s">
        <v>228</v>
      </c>
      <c r="J91" s="146" t="s">
        <v>240</v>
      </c>
      <c r="K91" s="146" t="s">
        <v>235</v>
      </c>
    </row>
    <row r="92" spans="1:11" x14ac:dyDescent="0.25">
      <c r="A92" s="146" t="s">
        <v>450</v>
      </c>
      <c r="B92" s="146" t="s">
        <v>451</v>
      </c>
      <c r="C92" s="146" t="s">
        <v>238</v>
      </c>
      <c r="D92" s="146" t="s">
        <v>239</v>
      </c>
      <c r="E92" s="146" t="s">
        <v>231</v>
      </c>
      <c r="F92" s="146" t="s">
        <v>228</v>
      </c>
      <c r="G92" s="146" t="s">
        <v>228</v>
      </c>
      <c r="H92" s="146" t="s">
        <v>228</v>
      </c>
      <c r="I92" s="146" t="s">
        <v>228</v>
      </c>
      <c r="J92" s="146" t="s">
        <v>240</v>
      </c>
      <c r="K92" s="146" t="s">
        <v>235</v>
      </c>
    </row>
    <row r="93" spans="1:11" x14ac:dyDescent="0.25">
      <c r="A93" s="146" t="s">
        <v>452</v>
      </c>
      <c r="B93" s="146" t="s">
        <v>453</v>
      </c>
      <c r="C93" s="146" t="s">
        <v>238</v>
      </c>
      <c r="D93" s="146" t="s">
        <v>239</v>
      </c>
      <c r="E93" s="146" t="s">
        <v>231</v>
      </c>
      <c r="F93" s="146" t="s">
        <v>228</v>
      </c>
      <c r="G93" s="146" t="s">
        <v>228</v>
      </c>
      <c r="H93" s="146" t="s">
        <v>228</v>
      </c>
      <c r="I93" s="146" t="s">
        <v>228</v>
      </c>
      <c r="J93" s="146" t="s">
        <v>240</v>
      </c>
      <c r="K93" s="146" t="s">
        <v>235</v>
      </c>
    </row>
    <row r="94" spans="1:11" x14ac:dyDescent="0.25">
      <c r="A94" s="146" t="s">
        <v>454</v>
      </c>
      <c r="B94" s="146" t="s">
        <v>455</v>
      </c>
      <c r="C94" s="146" t="s">
        <v>238</v>
      </c>
      <c r="D94" s="146" t="s">
        <v>239</v>
      </c>
      <c r="E94" s="146" t="s">
        <v>231</v>
      </c>
      <c r="F94" s="146" t="s">
        <v>228</v>
      </c>
      <c r="G94" s="146" t="s">
        <v>228</v>
      </c>
      <c r="H94" s="146" t="s">
        <v>228</v>
      </c>
      <c r="I94" s="146" t="s">
        <v>228</v>
      </c>
      <c r="J94" s="146" t="s">
        <v>240</v>
      </c>
      <c r="K94" s="146" t="s">
        <v>235</v>
      </c>
    </row>
    <row r="95" spans="1:11" x14ac:dyDescent="0.25">
      <c r="A95" s="146" t="s">
        <v>456</v>
      </c>
      <c r="B95" s="146" t="s">
        <v>457</v>
      </c>
      <c r="C95" s="146" t="s">
        <v>238</v>
      </c>
      <c r="D95" s="146" t="s">
        <v>239</v>
      </c>
      <c r="E95" s="146" t="s">
        <v>231</v>
      </c>
      <c r="F95" s="146" t="s">
        <v>228</v>
      </c>
      <c r="G95" s="146" t="s">
        <v>228</v>
      </c>
      <c r="H95" s="146" t="s">
        <v>228</v>
      </c>
      <c r="I95" s="146" t="s">
        <v>228</v>
      </c>
      <c r="J95" s="146" t="s">
        <v>240</v>
      </c>
      <c r="K95" s="146" t="s">
        <v>235</v>
      </c>
    </row>
    <row r="96" spans="1:11" x14ac:dyDescent="0.25">
      <c r="A96" s="146" t="s">
        <v>458</v>
      </c>
      <c r="B96" s="146" t="s">
        <v>459</v>
      </c>
      <c r="C96" s="146" t="s">
        <v>238</v>
      </c>
      <c r="D96" s="146" t="s">
        <v>239</v>
      </c>
      <c r="E96" s="146" t="s">
        <v>231</v>
      </c>
      <c r="F96" s="146" t="s">
        <v>228</v>
      </c>
      <c r="G96" s="146" t="s">
        <v>228</v>
      </c>
      <c r="H96" s="146" t="s">
        <v>228</v>
      </c>
      <c r="I96" s="146" t="s">
        <v>228</v>
      </c>
      <c r="J96" s="146" t="s">
        <v>240</v>
      </c>
      <c r="K96" s="146" t="s">
        <v>235</v>
      </c>
    </row>
    <row r="97" spans="1:11" x14ac:dyDescent="0.25">
      <c r="A97" s="146" t="s">
        <v>460</v>
      </c>
      <c r="B97" s="146" t="s">
        <v>461</v>
      </c>
      <c r="C97" s="146" t="s">
        <v>238</v>
      </c>
      <c r="D97" s="146" t="s">
        <v>239</v>
      </c>
      <c r="E97" s="146" t="s">
        <v>231</v>
      </c>
      <c r="F97" s="146" t="s">
        <v>228</v>
      </c>
      <c r="G97" s="146" t="s">
        <v>228</v>
      </c>
      <c r="H97" s="146" t="s">
        <v>228</v>
      </c>
      <c r="I97" s="146" t="s">
        <v>228</v>
      </c>
      <c r="J97" s="146" t="s">
        <v>408</v>
      </c>
      <c r="K97" s="146" t="s">
        <v>235</v>
      </c>
    </row>
    <row r="98" spans="1:11" x14ac:dyDescent="0.25">
      <c r="A98" s="146" t="s">
        <v>462</v>
      </c>
      <c r="B98" s="146" t="s">
        <v>440</v>
      </c>
      <c r="C98" s="146" t="s">
        <v>238</v>
      </c>
      <c r="D98" s="146" t="s">
        <v>239</v>
      </c>
      <c r="E98" s="146" t="s">
        <v>231</v>
      </c>
      <c r="F98" s="146" t="s">
        <v>228</v>
      </c>
      <c r="G98" s="146" t="s">
        <v>228</v>
      </c>
      <c r="H98" s="146" t="s">
        <v>228</v>
      </c>
      <c r="I98" s="146" t="s">
        <v>228</v>
      </c>
      <c r="J98" s="146" t="s">
        <v>243</v>
      </c>
      <c r="K98" s="146" t="s">
        <v>263</v>
      </c>
    </row>
    <row r="99" spans="1:11" x14ac:dyDescent="0.25">
      <c r="A99" s="146" t="s">
        <v>463</v>
      </c>
      <c r="B99" s="146" t="s">
        <v>464</v>
      </c>
      <c r="C99" s="146" t="s">
        <v>238</v>
      </c>
      <c r="D99" s="146" t="s">
        <v>464</v>
      </c>
      <c r="E99" s="146" t="s">
        <v>231</v>
      </c>
      <c r="F99" s="146" t="s">
        <v>228</v>
      </c>
      <c r="G99" s="146" t="s">
        <v>228</v>
      </c>
      <c r="H99" s="146" t="s">
        <v>228</v>
      </c>
      <c r="I99" s="146" t="s">
        <v>228</v>
      </c>
      <c r="J99" s="146" t="s">
        <v>465</v>
      </c>
      <c r="K99" s="146" t="s">
        <v>235</v>
      </c>
    </row>
    <row r="100" spans="1:11" x14ac:dyDescent="0.25">
      <c r="A100" s="146" t="s">
        <v>466</v>
      </c>
      <c r="B100" s="146" t="s">
        <v>467</v>
      </c>
      <c r="C100" s="146" t="s">
        <v>238</v>
      </c>
      <c r="D100" s="146" t="s">
        <v>239</v>
      </c>
      <c r="E100" s="146" t="s">
        <v>231</v>
      </c>
      <c r="F100" s="146" t="s">
        <v>228</v>
      </c>
      <c r="G100" s="146" t="s">
        <v>228</v>
      </c>
      <c r="H100" s="146" t="s">
        <v>228</v>
      </c>
      <c r="I100" s="146" t="s">
        <v>228</v>
      </c>
      <c r="J100" s="146" t="s">
        <v>240</v>
      </c>
      <c r="K100" s="146" t="s">
        <v>235</v>
      </c>
    </row>
    <row r="101" spans="1:11" x14ac:dyDescent="0.25">
      <c r="A101" s="146" t="s">
        <v>468</v>
      </c>
      <c r="B101" s="146" t="s">
        <v>469</v>
      </c>
      <c r="C101" s="146" t="s">
        <v>238</v>
      </c>
      <c r="D101" s="146" t="s">
        <v>239</v>
      </c>
      <c r="E101" s="146" t="s">
        <v>231</v>
      </c>
      <c r="F101" s="146" t="s">
        <v>228</v>
      </c>
      <c r="G101" s="146" t="s">
        <v>228</v>
      </c>
      <c r="H101" s="146" t="s">
        <v>228</v>
      </c>
      <c r="I101" s="146" t="s">
        <v>228</v>
      </c>
      <c r="J101" s="146" t="s">
        <v>470</v>
      </c>
      <c r="K101" s="146" t="s">
        <v>235</v>
      </c>
    </row>
    <row r="102" spans="1:11" x14ac:dyDescent="0.25">
      <c r="A102" s="146" t="s">
        <v>471</v>
      </c>
      <c r="B102" s="146" t="s">
        <v>472</v>
      </c>
      <c r="C102" s="146" t="s">
        <v>238</v>
      </c>
      <c r="D102" s="146" t="s">
        <v>239</v>
      </c>
      <c r="E102" s="146" t="s">
        <v>231</v>
      </c>
      <c r="F102" s="146" t="s">
        <v>228</v>
      </c>
      <c r="G102" s="146" t="s">
        <v>228</v>
      </c>
      <c r="H102" s="146" t="s">
        <v>228</v>
      </c>
      <c r="I102" s="146" t="s">
        <v>228</v>
      </c>
      <c r="J102" s="146" t="s">
        <v>325</v>
      </c>
      <c r="K102" s="146" t="s">
        <v>235</v>
      </c>
    </row>
    <row r="103" spans="1:11" x14ac:dyDescent="0.25">
      <c r="A103" s="146" t="s">
        <v>473</v>
      </c>
      <c r="B103" s="146" t="s">
        <v>474</v>
      </c>
      <c r="C103" s="146" t="s">
        <v>238</v>
      </c>
      <c r="D103" s="146" t="s">
        <v>239</v>
      </c>
      <c r="E103" s="146" t="s">
        <v>231</v>
      </c>
      <c r="F103" s="146" t="s">
        <v>228</v>
      </c>
      <c r="G103" s="146" t="s">
        <v>228</v>
      </c>
      <c r="H103" s="146" t="s">
        <v>228</v>
      </c>
      <c r="I103" s="146" t="s">
        <v>228</v>
      </c>
      <c r="J103" s="146" t="s">
        <v>240</v>
      </c>
      <c r="K103" s="146" t="s">
        <v>235</v>
      </c>
    </row>
    <row r="104" spans="1:11" x14ac:dyDescent="0.25">
      <c r="A104" s="146" t="s">
        <v>475</v>
      </c>
      <c r="B104" s="146" t="s">
        <v>476</v>
      </c>
      <c r="C104" s="146" t="s">
        <v>238</v>
      </c>
      <c r="D104" s="146" t="s">
        <v>239</v>
      </c>
      <c r="E104" s="146" t="s">
        <v>231</v>
      </c>
      <c r="F104" s="146" t="s">
        <v>228</v>
      </c>
      <c r="G104" s="146" t="s">
        <v>228</v>
      </c>
      <c r="H104" s="146" t="s">
        <v>228</v>
      </c>
      <c r="I104" s="146" t="s">
        <v>228</v>
      </c>
      <c r="J104" s="146" t="s">
        <v>240</v>
      </c>
      <c r="K104" s="146" t="s">
        <v>235</v>
      </c>
    </row>
    <row r="105" spans="1:11" x14ac:dyDescent="0.25">
      <c r="A105" s="146" t="s">
        <v>477</v>
      </c>
      <c r="B105" s="146" t="s">
        <v>478</v>
      </c>
      <c r="C105" s="146" t="s">
        <v>238</v>
      </c>
      <c r="D105" s="146" t="s">
        <v>239</v>
      </c>
      <c r="E105" s="146" t="s">
        <v>231</v>
      </c>
      <c r="F105" s="146" t="s">
        <v>228</v>
      </c>
      <c r="G105" s="146" t="s">
        <v>228</v>
      </c>
      <c r="H105" s="146" t="s">
        <v>228</v>
      </c>
      <c r="I105" s="146" t="s">
        <v>228</v>
      </c>
      <c r="J105" s="146" t="s">
        <v>243</v>
      </c>
      <c r="K105" s="146" t="s">
        <v>235</v>
      </c>
    </row>
    <row r="106" spans="1:11" x14ac:dyDescent="0.25">
      <c r="A106" s="146" t="s">
        <v>479</v>
      </c>
      <c r="B106" s="146" t="s">
        <v>480</v>
      </c>
      <c r="C106" s="146" t="s">
        <v>238</v>
      </c>
      <c r="D106" s="146" t="s">
        <v>239</v>
      </c>
      <c r="E106" s="146" t="s">
        <v>231</v>
      </c>
      <c r="F106" s="146" t="s">
        <v>228</v>
      </c>
      <c r="G106" s="146" t="s">
        <v>228</v>
      </c>
      <c r="H106" s="146" t="s">
        <v>228</v>
      </c>
      <c r="I106" s="146" t="s">
        <v>228</v>
      </c>
      <c r="J106" s="146" t="s">
        <v>240</v>
      </c>
      <c r="K106" s="146" t="s">
        <v>341</v>
      </c>
    </row>
    <row r="107" spans="1:11" x14ac:dyDescent="0.25">
      <c r="A107" s="146" t="s">
        <v>481</v>
      </c>
      <c r="B107" s="146" t="s">
        <v>482</v>
      </c>
      <c r="C107" s="146" t="s">
        <v>323</v>
      </c>
      <c r="D107" s="146" t="s">
        <v>324</v>
      </c>
      <c r="E107" s="146" t="s">
        <v>231</v>
      </c>
      <c r="F107" s="146" t="s">
        <v>228</v>
      </c>
      <c r="G107" s="146" t="s">
        <v>228</v>
      </c>
      <c r="H107" s="146" t="s">
        <v>228</v>
      </c>
      <c r="I107" s="146" t="s">
        <v>228</v>
      </c>
      <c r="J107" s="146" t="s">
        <v>340</v>
      </c>
      <c r="K107" s="146" t="s">
        <v>235</v>
      </c>
    </row>
    <row r="108" spans="1:11" x14ac:dyDescent="0.25">
      <c r="A108" s="146" t="s">
        <v>483</v>
      </c>
      <c r="B108" s="146" t="s">
        <v>484</v>
      </c>
      <c r="C108" s="146" t="s">
        <v>323</v>
      </c>
      <c r="D108" s="146" t="s">
        <v>324</v>
      </c>
      <c r="E108" s="146" t="s">
        <v>231</v>
      </c>
      <c r="F108" s="146" t="s">
        <v>228</v>
      </c>
      <c r="G108" s="146" t="s">
        <v>228</v>
      </c>
      <c r="H108" s="146" t="s">
        <v>228</v>
      </c>
      <c r="I108" s="146" t="s">
        <v>228</v>
      </c>
      <c r="J108" s="146" t="s">
        <v>417</v>
      </c>
      <c r="K108" s="146" t="s">
        <v>235</v>
      </c>
    </row>
    <row r="109" spans="1:11" x14ac:dyDescent="0.25">
      <c r="A109" s="146" t="s">
        <v>485</v>
      </c>
      <c r="B109" s="146" t="s">
        <v>486</v>
      </c>
      <c r="C109" s="146" t="s">
        <v>323</v>
      </c>
      <c r="D109" s="146" t="s">
        <v>324</v>
      </c>
      <c r="E109" s="146" t="s">
        <v>231</v>
      </c>
      <c r="F109" s="146" t="s">
        <v>228</v>
      </c>
      <c r="G109" s="146" t="s">
        <v>228</v>
      </c>
      <c r="H109" s="146" t="s">
        <v>228</v>
      </c>
      <c r="I109" s="146" t="s">
        <v>228</v>
      </c>
      <c r="J109" s="146" t="s">
        <v>340</v>
      </c>
      <c r="K109" s="146" t="s">
        <v>235</v>
      </c>
    </row>
    <row r="110" spans="1:11" x14ac:dyDescent="0.25">
      <c r="A110" s="146" t="s">
        <v>487</v>
      </c>
      <c r="B110" s="146" t="s">
        <v>488</v>
      </c>
      <c r="C110" s="146" t="s">
        <v>323</v>
      </c>
      <c r="D110" s="146" t="s">
        <v>324</v>
      </c>
      <c r="E110" s="146" t="s">
        <v>231</v>
      </c>
      <c r="F110" s="146" t="s">
        <v>228</v>
      </c>
      <c r="G110" s="146" t="s">
        <v>228</v>
      </c>
      <c r="H110" s="146" t="s">
        <v>228</v>
      </c>
      <c r="I110" s="146" t="s">
        <v>228</v>
      </c>
      <c r="J110" s="146" t="s">
        <v>340</v>
      </c>
      <c r="K110" s="146" t="s">
        <v>235</v>
      </c>
    </row>
    <row r="111" spans="1:11" x14ac:dyDescent="0.25">
      <c r="A111" s="146" t="s">
        <v>489</v>
      </c>
      <c r="B111" s="146" t="s">
        <v>488</v>
      </c>
      <c r="C111" s="146" t="s">
        <v>323</v>
      </c>
      <c r="D111" s="146" t="s">
        <v>324</v>
      </c>
      <c r="E111" s="146" t="s">
        <v>231</v>
      </c>
      <c r="F111" s="146" t="s">
        <v>228</v>
      </c>
      <c r="G111" s="146" t="s">
        <v>228</v>
      </c>
      <c r="H111" s="146" t="s">
        <v>228</v>
      </c>
      <c r="I111" s="146" t="s">
        <v>228</v>
      </c>
      <c r="J111" s="146" t="s">
        <v>340</v>
      </c>
      <c r="K111" s="146" t="s">
        <v>235</v>
      </c>
    </row>
    <row r="112" spans="1:11" x14ac:dyDescent="0.25">
      <c r="A112" s="146" t="s">
        <v>490</v>
      </c>
      <c r="B112" s="146" t="s">
        <v>491</v>
      </c>
      <c r="C112" s="146" t="s">
        <v>323</v>
      </c>
      <c r="D112" s="146" t="s">
        <v>324</v>
      </c>
      <c r="E112" s="146" t="s">
        <v>231</v>
      </c>
      <c r="F112" s="146" t="s">
        <v>228</v>
      </c>
      <c r="G112" s="146" t="s">
        <v>228</v>
      </c>
      <c r="H112" s="146" t="s">
        <v>228</v>
      </c>
      <c r="I112" s="146" t="s">
        <v>228</v>
      </c>
      <c r="J112" s="146" t="s">
        <v>492</v>
      </c>
      <c r="K112" s="146" t="s">
        <v>235</v>
      </c>
    </row>
    <row r="113" spans="1:11" x14ac:dyDescent="0.25">
      <c r="A113" s="146" t="s">
        <v>493</v>
      </c>
      <c r="B113" s="146" t="s">
        <v>494</v>
      </c>
      <c r="C113" s="146" t="s">
        <v>323</v>
      </c>
      <c r="D113" s="146" t="s">
        <v>324</v>
      </c>
      <c r="E113" s="146" t="s">
        <v>231</v>
      </c>
      <c r="F113" s="146" t="s">
        <v>228</v>
      </c>
      <c r="G113" s="146" t="s">
        <v>228</v>
      </c>
      <c r="H113" s="146" t="s">
        <v>228</v>
      </c>
      <c r="I113" s="146" t="s">
        <v>228</v>
      </c>
      <c r="J113" s="146" t="s">
        <v>340</v>
      </c>
      <c r="K113" s="146" t="s">
        <v>341</v>
      </c>
    </row>
    <row r="114" spans="1:11" x14ac:dyDescent="0.25">
      <c r="A114" s="146" t="s">
        <v>495</v>
      </c>
      <c r="B114" s="146" t="s">
        <v>496</v>
      </c>
      <c r="C114" s="146" t="s">
        <v>323</v>
      </c>
      <c r="D114" s="146" t="s">
        <v>324</v>
      </c>
      <c r="E114" s="146" t="s">
        <v>231</v>
      </c>
      <c r="F114" s="146" t="s">
        <v>228</v>
      </c>
      <c r="G114" s="146" t="s">
        <v>228</v>
      </c>
      <c r="H114" s="146" t="s">
        <v>228</v>
      </c>
      <c r="I114" s="146" t="s">
        <v>228</v>
      </c>
      <c r="J114" s="146" t="s">
        <v>340</v>
      </c>
      <c r="K114" s="146" t="s">
        <v>341</v>
      </c>
    </row>
    <row r="115" spans="1:11" x14ac:dyDescent="0.25">
      <c r="A115" s="146" t="s">
        <v>497</v>
      </c>
      <c r="B115" s="146" t="s">
        <v>498</v>
      </c>
      <c r="C115" s="146" t="s">
        <v>323</v>
      </c>
      <c r="D115" s="146" t="s">
        <v>324</v>
      </c>
      <c r="E115" s="146" t="s">
        <v>231</v>
      </c>
      <c r="F115" s="146" t="s">
        <v>228</v>
      </c>
      <c r="G115" s="146" t="s">
        <v>228</v>
      </c>
      <c r="H115" s="146" t="s">
        <v>228</v>
      </c>
      <c r="I115" s="146" t="s">
        <v>228</v>
      </c>
      <c r="J115" s="146" t="s">
        <v>340</v>
      </c>
      <c r="K115" s="146" t="s">
        <v>341</v>
      </c>
    </row>
    <row r="116" spans="1:11" x14ac:dyDescent="0.25">
      <c r="A116" s="146" t="s">
        <v>499</v>
      </c>
      <c r="B116" s="146" t="s">
        <v>500</v>
      </c>
      <c r="C116" s="146" t="s">
        <v>323</v>
      </c>
      <c r="D116" s="146" t="s">
        <v>324</v>
      </c>
      <c r="E116" s="146" t="s">
        <v>231</v>
      </c>
      <c r="F116" s="146" t="s">
        <v>228</v>
      </c>
      <c r="G116" s="146" t="s">
        <v>228</v>
      </c>
      <c r="H116" s="146" t="s">
        <v>228</v>
      </c>
      <c r="I116" s="146" t="s">
        <v>228</v>
      </c>
      <c r="J116" s="146" t="s">
        <v>340</v>
      </c>
      <c r="K116" s="146" t="s">
        <v>341</v>
      </c>
    </row>
    <row r="117" spans="1:11" x14ac:dyDescent="0.25">
      <c r="A117" s="146" t="s">
        <v>501</v>
      </c>
      <c r="B117" s="146" t="s">
        <v>502</v>
      </c>
      <c r="C117" s="146" t="s">
        <v>323</v>
      </c>
      <c r="D117" s="146" t="s">
        <v>324</v>
      </c>
      <c r="E117" s="146" t="s">
        <v>231</v>
      </c>
      <c r="F117" s="146" t="s">
        <v>228</v>
      </c>
      <c r="G117" s="146" t="s">
        <v>228</v>
      </c>
      <c r="H117" s="146" t="s">
        <v>228</v>
      </c>
      <c r="I117" s="146" t="s">
        <v>228</v>
      </c>
      <c r="J117" s="146" t="s">
        <v>340</v>
      </c>
      <c r="K117" s="146" t="s">
        <v>341</v>
      </c>
    </row>
    <row r="118" spans="1:11" x14ac:dyDescent="0.25">
      <c r="A118" s="146" t="s">
        <v>503</v>
      </c>
      <c r="B118" s="146" t="s">
        <v>504</v>
      </c>
      <c r="C118" s="146" t="s">
        <v>323</v>
      </c>
      <c r="D118" s="146" t="s">
        <v>324</v>
      </c>
      <c r="E118" s="146" t="s">
        <v>231</v>
      </c>
      <c r="F118" s="146" t="s">
        <v>228</v>
      </c>
      <c r="G118" s="146" t="s">
        <v>228</v>
      </c>
      <c r="H118" s="146" t="s">
        <v>228</v>
      </c>
      <c r="I118" s="146" t="s">
        <v>228</v>
      </c>
      <c r="J118" s="146" t="s">
        <v>340</v>
      </c>
      <c r="K118" s="146" t="s">
        <v>235</v>
      </c>
    </row>
    <row r="119" spans="1:11" x14ac:dyDescent="0.25">
      <c r="A119" s="146" t="s">
        <v>505</v>
      </c>
      <c r="B119" s="146" t="s">
        <v>506</v>
      </c>
      <c r="C119" s="146" t="s">
        <v>323</v>
      </c>
      <c r="D119" s="146" t="s">
        <v>324</v>
      </c>
      <c r="E119" s="146" t="s">
        <v>231</v>
      </c>
      <c r="F119" s="146" t="s">
        <v>228</v>
      </c>
      <c r="G119" s="146" t="s">
        <v>228</v>
      </c>
      <c r="H119" s="146" t="s">
        <v>228</v>
      </c>
      <c r="I119" s="146" t="s">
        <v>228</v>
      </c>
      <c r="J119" s="146" t="s">
        <v>340</v>
      </c>
      <c r="K119" s="146" t="s">
        <v>341</v>
      </c>
    </row>
    <row r="120" spans="1:11" x14ac:dyDescent="0.25">
      <c r="A120" s="146" t="s">
        <v>507</v>
      </c>
      <c r="B120" s="146" t="s">
        <v>508</v>
      </c>
      <c r="C120" s="146" t="s">
        <v>323</v>
      </c>
      <c r="D120" s="146" t="s">
        <v>324</v>
      </c>
      <c r="E120" s="146" t="s">
        <v>231</v>
      </c>
      <c r="F120" s="146" t="s">
        <v>228</v>
      </c>
      <c r="G120" s="146" t="s">
        <v>228</v>
      </c>
      <c r="H120" s="146" t="s">
        <v>228</v>
      </c>
      <c r="I120" s="146" t="s">
        <v>228</v>
      </c>
      <c r="J120" s="146" t="s">
        <v>340</v>
      </c>
      <c r="K120" s="146" t="s">
        <v>341</v>
      </c>
    </row>
    <row r="121" spans="1:11" x14ac:dyDescent="0.25">
      <c r="A121" s="146" t="s">
        <v>509</v>
      </c>
      <c r="B121" s="146" t="s">
        <v>510</v>
      </c>
      <c r="C121" s="146" t="s">
        <v>323</v>
      </c>
      <c r="D121" s="146" t="s">
        <v>324</v>
      </c>
      <c r="E121" s="146" t="s">
        <v>231</v>
      </c>
      <c r="F121" s="146" t="s">
        <v>228</v>
      </c>
      <c r="G121" s="146" t="s">
        <v>228</v>
      </c>
      <c r="H121" s="146" t="s">
        <v>228</v>
      </c>
      <c r="I121" s="146" t="s">
        <v>228</v>
      </c>
      <c r="J121" s="146" t="s">
        <v>340</v>
      </c>
      <c r="K121" s="146" t="s">
        <v>235</v>
      </c>
    </row>
    <row r="122" spans="1:11" x14ac:dyDescent="0.25">
      <c r="A122" s="146" t="s">
        <v>511</v>
      </c>
      <c r="B122" s="146" t="s">
        <v>512</v>
      </c>
      <c r="C122" s="146" t="s">
        <v>323</v>
      </c>
      <c r="D122" s="146" t="s">
        <v>324</v>
      </c>
      <c r="E122" s="146" t="s">
        <v>231</v>
      </c>
      <c r="F122" s="146" t="s">
        <v>228</v>
      </c>
      <c r="G122" s="146" t="s">
        <v>228</v>
      </c>
      <c r="H122" s="146" t="s">
        <v>228</v>
      </c>
      <c r="I122" s="146" t="s">
        <v>228</v>
      </c>
      <c r="J122" s="146" t="s">
        <v>340</v>
      </c>
      <c r="K122" s="146" t="s">
        <v>341</v>
      </c>
    </row>
    <row r="123" spans="1:11" x14ac:dyDescent="0.25">
      <c r="A123" s="146" t="s">
        <v>513</v>
      </c>
      <c r="B123" s="146" t="s">
        <v>514</v>
      </c>
      <c r="C123" s="146" t="s">
        <v>323</v>
      </c>
      <c r="D123" s="146" t="s">
        <v>324</v>
      </c>
      <c r="E123" s="146" t="s">
        <v>231</v>
      </c>
      <c r="F123" s="146" t="s">
        <v>228</v>
      </c>
      <c r="G123" s="146" t="s">
        <v>228</v>
      </c>
      <c r="H123" s="146" t="s">
        <v>228</v>
      </c>
      <c r="I123" s="146" t="s">
        <v>228</v>
      </c>
      <c r="J123" s="146" t="s">
        <v>340</v>
      </c>
      <c r="K123" s="146" t="s">
        <v>341</v>
      </c>
    </row>
    <row r="124" spans="1:11" x14ac:dyDescent="0.25">
      <c r="A124" s="146" t="s">
        <v>515</v>
      </c>
      <c r="B124" s="146" t="s">
        <v>516</v>
      </c>
      <c r="C124" s="146" t="s">
        <v>323</v>
      </c>
      <c r="D124" s="146" t="s">
        <v>324</v>
      </c>
      <c r="E124" s="146" t="s">
        <v>231</v>
      </c>
      <c r="F124" s="146" t="s">
        <v>228</v>
      </c>
      <c r="G124" s="146" t="s">
        <v>228</v>
      </c>
      <c r="H124" s="146" t="s">
        <v>228</v>
      </c>
      <c r="I124" s="146" t="s">
        <v>228</v>
      </c>
      <c r="J124" s="146" t="s">
        <v>340</v>
      </c>
      <c r="K124" s="146" t="s">
        <v>235</v>
      </c>
    </row>
    <row r="125" spans="1:11" x14ac:dyDescent="0.25">
      <c r="A125" s="146" t="s">
        <v>517</v>
      </c>
      <c r="B125" s="146" t="s">
        <v>518</v>
      </c>
      <c r="C125" s="146" t="s">
        <v>323</v>
      </c>
      <c r="D125" s="146" t="s">
        <v>324</v>
      </c>
      <c r="E125" s="146" t="s">
        <v>231</v>
      </c>
      <c r="F125" s="146" t="s">
        <v>228</v>
      </c>
      <c r="G125" s="146" t="s">
        <v>228</v>
      </c>
      <c r="H125" s="146" t="s">
        <v>228</v>
      </c>
      <c r="I125" s="146" t="s">
        <v>228</v>
      </c>
      <c r="J125" s="146" t="s">
        <v>340</v>
      </c>
      <c r="K125" s="146" t="s">
        <v>341</v>
      </c>
    </row>
    <row r="126" spans="1:11" x14ac:dyDescent="0.25">
      <c r="A126" s="146" t="s">
        <v>519</v>
      </c>
      <c r="B126" s="146" t="s">
        <v>520</v>
      </c>
      <c r="C126" s="146" t="s">
        <v>323</v>
      </c>
      <c r="D126" s="146" t="s">
        <v>324</v>
      </c>
      <c r="E126" s="146" t="s">
        <v>231</v>
      </c>
      <c r="F126" s="146" t="s">
        <v>228</v>
      </c>
      <c r="G126" s="146" t="s">
        <v>228</v>
      </c>
      <c r="H126" s="146" t="s">
        <v>228</v>
      </c>
      <c r="I126" s="146" t="s">
        <v>228</v>
      </c>
      <c r="J126" s="146" t="s">
        <v>340</v>
      </c>
      <c r="K126" s="146" t="s">
        <v>341</v>
      </c>
    </row>
    <row r="127" spans="1:11" x14ac:dyDescent="0.25">
      <c r="A127" s="146" t="s">
        <v>521</v>
      </c>
      <c r="B127" s="146" t="s">
        <v>522</v>
      </c>
      <c r="C127" s="146" t="s">
        <v>323</v>
      </c>
      <c r="D127" s="146" t="s">
        <v>324</v>
      </c>
      <c r="E127" s="146" t="s">
        <v>231</v>
      </c>
      <c r="F127" s="146" t="s">
        <v>228</v>
      </c>
      <c r="G127" s="146" t="s">
        <v>228</v>
      </c>
      <c r="H127" s="146" t="s">
        <v>228</v>
      </c>
      <c r="I127" s="146" t="s">
        <v>228</v>
      </c>
      <c r="J127" s="146" t="s">
        <v>523</v>
      </c>
      <c r="K127" s="146" t="s">
        <v>235</v>
      </c>
    </row>
    <row r="128" spans="1:11" x14ac:dyDescent="0.25">
      <c r="A128" s="146" t="s">
        <v>524</v>
      </c>
      <c r="B128" s="146" t="s">
        <v>525</v>
      </c>
      <c r="C128" s="146" t="s">
        <v>323</v>
      </c>
      <c r="D128" s="146" t="s">
        <v>324</v>
      </c>
      <c r="E128" s="146" t="s">
        <v>231</v>
      </c>
      <c r="F128" s="146" t="s">
        <v>228</v>
      </c>
      <c r="G128" s="146" t="s">
        <v>228</v>
      </c>
      <c r="H128" s="146" t="s">
        <v>228</v>
      </c>
      <c r="I128" s="146" t="s">
        <v>228</v>
      </c>
      <c r="J128" s="146" t="s">
        <v>523</v>
      </c>
      <c r="K128" s="146" t="s">
        <v>341</v>
      </c>
    </row>
    <row r="129" spans="1:11" x14ac:dyDescent="0.25">
      <c r="A129" s="146" t="s">
        <v>526</v>
      </c>
      <c r="B129" s="146" t="s">
        <v>527</v>
      </c>
      <c r="C129" s="146" t="s">
        <v>323</v>
      </c>
      <c r="D129" s="146" t="s">
        <v>324</v>
      </c>
      <c r="E129" s="146" t="s">
        <v>231</v>
      </c>
      <c r="F129" s="146" t="s">
        <v>228</v>
      </c>
      <c r="G129" s="146" t="s">
        <v>228</v>
      </c>
      <c r="H129" s="146" t="s">
        <v>228</v>
      </c>
      <c r="I129" s="146" t="s">
        <v>228</v>
      </c>
      <c r="J129" s="146" t="s">
        <v>523</v>
      </c>
      <c r="K129" s="146" t="s">
        <v>341</v>
      </c>
    </row>
    <row r="130" spans="1:11" x14ac:dyDescent="0.25">
      <c r="A130" s="146" t="s">
        <v>528</v>
      </c>
      <c r="B130" s="146" t="s">
        <v>529</v>
      </c>
      <c r="C130" s="146" t="s">
        <v>323</v>
      </c>
      <c r="D130" s="146" t="s">
        <v>324</v>
      </c>
      <c r="E130" s="146" t="s">
        <v>231</v>
      </c>
      <c r="F130" s="146" t="s">
        <v>228</v>
      </c>
      <c r="G130" s="146" t="s">
        <v>228</v>
      </c>
      <c r="H130" s="146" t="s">
        <v>228</v>
      </c>
      <c r="I130" s="146" t="s">
        <v>228</v>
      </c>
      <c r="J130" s="146" t="s">
        <v>340</v>
      </c>
      <c r="K130" s="146" t="s">
        <v>341</v>
      </c>
    </row>
    <row r="131" spans="1:11" x14ac:dyDescent="0.25">
      <c r="A131" s="146" t="s">
        <v>530</v>
      </c>
      <c r="B131" s="146" t="s">
        <v>531</v>
      </c>
      <c r="C131" s="146" t="s">
        <v>323</v>
      </c>
      <c r="D131" s="146" t="s">
        <v>324</v>
      </c>
      <c r="E131" s="146" t="s">
        <v>231</v>
      </c>
      <c r="F131" s="146" t="s">
        <v>228</v>
      </c>
      <c r="G131" s="146" t="s">
        <v>228</v>
      </c>
      <c r="H131" s="146" t="s">
        <v>228</v>
      </c>
      <c r="I131" s="146" t="s">
        <v>228</v>
      </c>
      <c r="J131" s="146" t="s">
        <v>340</v>
      </c>
      <c r="K131" s="146" t="s">
        <v>341</v>
      </c>
    </row>
    <row r="132" spans="1:11" x14ac:dyDescent="0.25">
      <c r="A132" s="146" t="s">
        <v>532</v>
      </c>
      <c r="B132" s="146" t="s">
        <v>533</v>
      </c>
      <c r="C132" s="146" t="s">
        <v>323</v>
      </c>
      <c r="D132" s="146" t="s">
        <v>324</v>
      </c>
      <c r="E132" s="146" t="s">
        <v>231</v>
      </c>
      <c r="F132" s="146" t="s">
        <v>228</v>
      </c>
      <c r="G132" s="146" t="s">
        <v>228</v>
      </c>
      <c r="H132" s="146" t="s">
        <v>228</v>
      </c>
      <c r="I132" s="146" t="s">
        <v>228</v>
      </c>
      <c r="J132" s="146" t="s">
        <v>340</v>
      </c>
      <c r="K132" s="146" t="s">
        <v>235</v>
      </c>
    </row>
    <row r="133" spans="1:11" x14ac:dyDescent="0.25">
      <c r="A133" s="146" t="s">
        <v>534</v>
      </c>
      <c r="B133" s="146" t="s">
        <v>535</v>
      </c>
      <c r="C133" s="146" t="s">
        <v>323</v>
      </c>
      <c r="D133" s="146" t="s">
        <v>324</v>
      </c>
      <c r="E133" s="146" t="s">
        <v>231</v>
      </c>
      <c r="F133" s="146" t="s">
        <v>228</v>
      </c>
      <c r="G133" s="146" t="s">
        <v>228</v>
      </c>
      <c r="H133" s="146" t="s">
        <v>228</v>
      </c>
      <c r="I133" s="146" t="s">
        <v>228</v>
      </c>
      <c r="J133" s="146" t="s">
        <v>340</v>
      </c>
      <c r="K133" s="146" t="s">
        <v>341</v>
      </c>
    </row>
    <row r="134" spans="1:11" x14ac:dyDescent="0.25">
      <c r="A134" s="146" t="s">
        <v>536</v>
      </c>
      <c r="B134" s="146" t="s">
        <v>537</v>
      </c>
      <c r="C134" s="146" t="s">
        <v>323</v>
      </c>
      <c r="D134" s="146" t="s">
        <v>324</v>
      </c>
      <c r="E134" s="146" t="s">
        <v>231</v>
      </c>
      <c r="F134" s="146" t="s">
        <v>228</v>
      </c>
      <c r="G134" s="146" t="s">
        <v>228</v>
      </c>
      <c r="H134" s="146" t="s">
        <v>228</v>
      </c>
      <c r="I134" s="146" t="s">
        <v>228</v>
      </c>
      <c r="J134" s="146" t="s">
        <v>340</v>
      </c>
      <c r="K134" s="146" t="s">
        <v>341</v>
      </c>
    </row>
    <row r="135" spans="1:11" x14ac:dyDescent="0.25">
      <c r="A135" s="146" t="s">
        <v>538</v>
      </c>
      <c r="B135" s="146" t="s">
        <v>539</v>
      </c>
      <c r="C135" s="146" t="s">
        <v>323</v>
      </c>
      <c r="D135" s="146" t="s">
        <v>324</v>
      </c>
      <c r="E135" s="146" t="s">
        <v>231</v>
      </c>
      <c r="F135" s="146" t="s">
        <v>228</v>
      </c>
      <c r="G135" s="146" t="s">
        <v>228</v>
      </c>
      <c r="H135" s="146" t="s">
        <v>228</v>
      </c>
      <c r="I135" s="146" t="s">
        <v>228</v>
      </c>
      <c r="J135" s="146" t="s">
        <v>340</v>
      </c>
      <c r="K135" s="146" t="s">
        <v>341</v>
      </c>
    </row>
    <row r="136" spans="1:11" x14ac:dyDescent="0.25">
      <c r="A136" s="146" t="s">
        <v>540</v>
      </c>
      <c r="B136" s="146" t="s">
        <v>541</v>
      </c>
      <c r="C136" s="146" t="s">
        <v>323</v>
      </c>
      <c r="D136" s="146" t="s">
        <v>324</v>
      </c>
      <c r="E136" s="146" t="s">
        <v>231</v>
      </c>
      <c r="F136" s="146" t="s">
        <v>228</v>
      </c>
      <c r="G136" s="146" t="s">
        <v>228</v>
      </c>
      <c r="H136" s="146" t="s">
        <v>228</v>
      </c>
      <c r="I136" s="146" t="s">
        <v>228</v>
      </c>
      <c r="J136" s="146" t="s">
        <v>340</v>
      </c>
      <c r="K136" s="146" t="s">
        <v>341</v>
      </c>
    </row>
    <row r="137" spans="1:11" x14ac:dyDescent="0.25">
      <c r="A137" s="146" t="s">
        <v>542</v>
      </c>
      <c r="B137" s="146" t="s">
        <v>543</v>
      </c>
      <c r="C137" s="146" t="s">
        <v>323</v>
      </c>
      <c r="D137" s="146" t="s">
        <v>324</v>
      </c>
      <c r="E137" s="146" t="s">
        <v>231</v>
      </c>
      <c r="F137" s="146" t="s">
        <v>228</v>
      </c>
      <c r="G137" s="146" t="s">
        <v>228</v>
      </c>
      <c r="H137" s="146" t="s">
        <v>228</v>
      </c>
      <c r="I137" s="146" t="s">
        <v>228</v>
      </c>
      <c r="J137" s="146" t="s">
        <v>340</v>
      </c>
      <c r="K137" s="146" t="s">
        <v>341</v>
      </c>
    </row>
    <row r="138" spans="1:11" x14ac:dyDescent="0.25">
      <c r="A138" s="146" t="s">
        <v>544</v>
      </c>
      <c r="B138" s="146" t="s">
        <v>545</v>
      </c>
      <c r="C138" s="146" t="s">
        <v>323</v>
      </c>
      <c r="D138" s="146" t="s">
        <v>324</v>
      </c>
      <c r="E138" s="146" t="s">
        <v>231</v>
      </c>
      <c r="F138" s="146" t="s">
        <v>228</v>
      </c>
      <c r="G138" s="146" t="s">
        <v>228</v>
      </c>
      <c r="H138" s="146" t="s">
        <v>228</v>
      </c>
      <c r="I138" s="146" t="s">
        <v>228</v>
      </c>
      <c r="J138" s="146" t="s">
        <v>546</v>
      </c>
      <c r="K138" s="146" t="s">
        <v>235</v>
      </c>
    </row>
    <row r="139" spans="1:11" x14ac:dyDescent="0.25">
      <c r="A139" s="146" t="s">
        <v>547</v>
      </c>
      <c r="B139" s="146" t="s">
        <v>548</v>
      </c>
      <c r="C139" s="146" t="s">
        <v>323</v>
      </c>
      <c r="D139" s="146" t="s">
        <v>324</v>
      </c>
      <c r="E139" s="146" t="s">
        <v>231</v>
      </c>
      <c r="F139" s="146" t="s">
        <v>228</v>
      </c>
      <c r="G139" s="146" t="s">
        <v>228</v>
      </c>
      <c r="H139" s="146" t="s">
        <v>228</v>
      </c>
      <c r="I139" s="146" t="s">
        <v>228</v>
      </c>
      <c r="J139" s="146" t="s">
        <v>523</v>
      </c>
      <c r="K139" s="146" t="s">
        <v>341</v>
      </c>
    </row>
    <row r="140" spans="1:11" x14ac:dyDescent="0.25">
      <c r="A140" s="146" t="s">
        <v>549</v>
      </c>
      <c r="B140" s="146" t="s">
        <v>550</v>
      </c>
      <c r="C140" s="146" t="s">
        <v>323</v>
      </c>
      <c r="D140" s="146" t="s">
        <v>324</v>
      </c>
      <c r="E140" s="146" t="s">
        <v>231</v>
      </c>
      <c r="F140" s="146" t="s">
        <v>228</v>
      </c>
      <c r="G140" s="146" t="s">
        <v>228</v>
      </c>
      <c r="H140" s="146" t="s">
        <v>228</v>
      </c>
      <c r="I140" s="146" t="s">
        <v>228</v>
      </c>
      <c r="J140" s="146" t="s">
        <v>523</v>
      </c>
      <c r="K140" s="146" t="s">
        <v>341</v>
      </c>
    </row>
    <row r="141" spans="1:11" x14ac:dyDescent="0.25">
      <c r="A141" s="146" t="s">
        <v>551</v>
      </c>
      <c r="B141" s="146" t="s">
        <v>552</v>
      </c>
      <c r="C141" s="146" t="s">
        <v>323</v>
      </c>
      <c r="D141" s="146" t="s">
        <v>324</v>
      </c>
      <c r="E141" s="146" t="s">
        <v>231</v>
      </c>
      <c r="F141" s="146" t="s">
        <v>228</v>
      </c>
      <c r="G141" s="146" t="s">
        <v>228</v>
      </c>
      <c r="H141" s="146" t="s">
        <v>228</v>
      </c>
      <c r="I141" s="146" t="s">
        <v>228</v>
      </c>
      <c r="J141" s="146" t="s">
        <v>523</v>
      </c>
      <c r="K141" s="146" t="s">
        <v>341</v>
      </c>
    </row>
    <row r="142" spans="1:11" x14ac:dyDescent="0.25">
      <c r="A142" s="146" t="s">
        <v>553</v>
      </c>
      <c r="B142" s="146" t="s">
        <v>554</v>
      </c>
      <c r="C142" s="146" t="s">
        <v>323</v>
      </c>
      <c r="D142" s="146" t="s">
        <v>324</v>
      </c>
      <c r="E142" s="146" t="s">
        <v>231</v>
      </c>
      <c r="F142" s="146" t="s">
        <v>228</v>
      </c>
      <c r="G142" s="146" t="s">
        <v>228</v>
      </c>
      <c r="H142" s="146" t="s">
        <v>228</v>
      </c>
      <c r="I142" s="146" t="s">
        <v>228</v>
      </c>
      <c r="J142" s="146" t="s">
        <v>523</v>
      </c>
      <c r="K142" s="146" t="s">
        <v>341</v>
      </c>
    </row>
    <row r="143" spans="1:11" x14ac:dyDescent="0.25">
      <c r="A143" s="146" t="s">
        <v>555</v>
      </c>
      <c r="B143" s="146" t="s">
        <v>556</v>
      </c>
      <c r="C143" s="146" t="s">
        <v>323</v>
      </c>
      <c r="D143" s="146" t="s">
        <v>324</v>
      </c>
      <c r="E143" s="146" t="s">
        <v>231</v>
      </c>
      <c r="F143" s="146" t="s">
        <v>228</v>
      </c>
      <c r="G143" s="146" t="s">
        <v>228</v>
      </c>
      <c r="H143" s="146" t="s">
        <v>228</v>
      </c>
      <c r="I143" s="146" t="s">
        <v>228</v>
      </c>
      <c r="J143" s="146" t="s">
        <v>523</v>
      </c>
      <c r="K143" s="146" t="s">
        <v>341</v>
      </c>
    </row>
    <row r="144" spans="1:11" x14ac:dyDescent="0.25">
      <c r="A144" s="146" t="s">
        <v>557</v>
      </c>
      <c r="B144" s="146" t="s">
        <v>558</v>
      </c>
      <c r="C144" s="146" t="s">
        <v>323</v>
      </c>
      <c r="D144" s="146" t="s">
        <v>324</v>
      </c>
      <c r="E144" s="146" t="s">
        <v>231</v>
      </c>
      <c r="F144" s="146" t="s">
        <v>228</v>
      </c>
      <c r="G144" s="146" t="s">
        <v>228</v>
      </c>
      <c r="H144" s="146" t="s">
        <v>228</v>
      </c>
      <c r="I144" s="146" t="s">
        <v>228</v>
      </c>
      <c r="J144" s="146" t="s">
        <v>523</v>
      </c>
      <c r="K144" s="146" t="s">
        <v>341</v>
      </c>
    </row>
    <row r="145" spans="1:11" x14ac:dyDescent="0.25">
      <c r="A145" s="146" t="s">
        <v>559</v>
      </c>
      <c r="B145" s="146" t="s">
        <v>560</v>
      </c>
      <c r="C145" s="146" t="s">
        <v>323</v>
      </c>
      <c r="D145" s="146" t="s">
        <v>324</v>
      </c>
      <c r="E145" s="146" t="s">
        <v>231</v>
      </c>
      <c r="F145" s="146" t="s">
        <v>228</v>
      </c>
      <c r="G145" s="146" t="s">
        <v>228</v>
      </c>
      <c r="H145" s="146" t="s">
        <v>228</v>
      </c>
      <c r="I145" s="146" t="s">
        <v>228</v>
      </c>
      <c r="J145" s="146" t="s">
        <v>523</v>
      </c>
      <c r="K145" s="146" t="s">
        <v>341</v>
      </c>
    </row>
    <row r="146" spans="1:11" x14ac:dyDescent="0.25">
      <c r="A146" s="146" t="s">
        <v>561</v>
      </c>
      <c r="B146" s="146" t="s">
        <v>562</v>
      </c>
      <c r="C146" s="146" t="s">
        <v>323</v>
      </c>
      <c r="D146" s="146" t="s">
        <v>324</v>
      </c>
      <c r="E146" s="146" t="s">
        <v>231</v>
      </c>
      <c r="F146" s="146" t="s">
        <v>228</v>
      </c>
      <c r="G146" s="146" t="s">
        <v>228</v>
      </c>
      <c r="H146" s="146" t="s">
        <v>228</v>
      </c>
      <c r="I146" s="146" t="s">
        <v>228</v>
      </c>
      <c r="J146" s="146" t="s">
        <v>523</v>
      </c>
      <c r="K146" s="146" t="s">
        <v>341</v>
      </c>
    </row>
    <row r="147" spans="1:11" x14ac:dyDescent="0.25">
      <c r="A147" s="146" t="s">
        <v>563</v>
      </c>
      <c r="B147" s="146" t="s">
        <v>564</v>
      </c>
      <c r="C147" s="146" t="s">
        <v>323</v>
      </c>
      <c r="D147" s="146" t="s">
        <v>324</v>
      </c>
      <c r="E147" s="146" t="s">
        <v>231</v>
      </c>
      <c r="F147" s="146" t="s">
        <v>228</v>
      </c>
      <c r="G147" s="146" t="s">
        <v>228</v>
      </c>
      <c r="H147" s="146" t="s">
        <v>228</v>
      </c>
      <c r="I147" s="146" t="s">
        <v>228</v>
      </c>
      <c r="J147" s="146" t="s">
        <v>523</v>
      </c>
      <c r="K147" s="146" t="s">
        <v>341</v>
      </c>
    </row>
    <row r="148" spans="1:11" x14ac:dyDescent="0.25">
      <c r="A148" s="146" t="s">
        <v>565</v>
      </c>
      <c r="B148" s="146" t="s">
        <v>566</v>
      </c>
      <c r="C148" s="146" t="s">
        <v>323</v>
      </c>
      <c r="D148" s="146" t="s">
        <v>324</v>
      </c>
      <c r="E148" s="146" t="s">
        <v>231</v>
      </c>
      <c r="F148" s="146" t="s">
        <v>228</v>
      </c>
      <c r="G148" s="146" t="s">
        <v>228</v>
      </c>
      <c r="H148" s="146" t="s">
        <v>228</v>
      </c>
      <c r="I148" s="146" t="s">
        <v>228</v>
      </c>
      <c r="J148" s="146" t="s">
        <v>523</v>
      </c>
      <c r="K148" s="146" t="s">
        <v>341</v>
      </c>
    </row>
    <row r="149" spans="1:11" x14ac:dyDescent="0.25">
      <c r="A149" s="146" t="s">
        <v>567</v>
      </c>
      <c r="B149" s="146" t="s">
        <v>568</v>
      </c>
      <c r="C149" s="146" t="s">
        <v>323</v>
      </c>
      <c r="D149" s="146" t="s">
        <v>324</v>
      </c>
      <c r="E149" s="146" t="s">
        <v>231</v>
      </c>
      <c r="F149" s="146" t="s">
        <v>228</v>
      </c>
      <c r="G149" s="146" t="s">
        <v>228</v>
      </c>
      <c r="H149" s="146" t="s">
        <v>228</v>
      </c>
      <c r="I149" s="146" t="s">
        <v>228</v>
      </c>
      <c r="J149" s="146" t="s">
        <v>523</v>
      </c>
      <c r="K149" s="146" t="s">
        <v>235</v>
      </c>
    </row>
    <row r="150" spans="1:11" x14ac:dyDescent="0.25">
      <c r="A150" s="146" t="s">
        <v>569</v>
      </c>
      <c r="B150" s="146" t="s">
        <v>570</v>
      </c>
      <c r="C150" s="146" t="s">
        <v>323</v>
      </c>
      <c r="D150" s="146" t="s">
        <v>324</v>
      </c>
      <c r="E150" s="146" t="s">
        <v>231</v>
      </c>
      <c r="F150" s="146" t="s">
        <v>228</v>
      </c>
      <c r="G150" s="146" t="s">
        <v>228</v>
      </c>
      <c r="H150" s="146" t="s">
        <v>228</v>
      </c>
      <c r="I150" s="146" t="s">
        <v>228</v>
      </c>
      <c r="J150" s="146" t="s">
        <v>340</v>
      </c>
      <c r="K150" s="146" t="s">
        <v>341</v>
      </c>
    </row>
    <row r="151" spans="1:11" x14ac:dyDescent="0.25">
      <c r="A151" s="146" t="s">
        <v>571</v>
      </c>
      <c r="B151" s="146" t="s">
        <v>572</v>
      </c>
      <c r="C151" s="146" t="s">
        <v>323</v>
      </c>
      <c r="D151" s="146" t="s">
        <v>324</v>
      </c>
      <c r="E151" s="146" t="s">
        <v>231</v>
      </c>
      <c r="F151" s="146" t="s">
        <v>228</v>
      </c>
      <c r="G151" s="146" t="s">
        <v>228</v>
      </c>
      <c r="H151" s="146" t="s">
        <v>228</v>
      </c>
      <c r="I151" s="146" t="s">
        <v>228</v>
      </c>
      <c r="J151" s="146" t="s">
        <v>340</v>
      </c>
      <c r="K151" s="146" t="s">
        <v>235</v>
      </c>
    </row>
    <row r="152" spans="1:11" x14ac:dyDescent="0.25">
      <c r="A152" s="146" t="s">
        <v>573</v>
      </c>
      <c r="B152" s="146" t="s">
        <v>574</v>
      </c>
      <c r="C152" s="146" t="s">
        <v>323</v>
      </c>
      <c r="D152" s="146" t="s">
        <v>324</v>
      </c>
      <c r="E152" s="146" t="s">
        <v>231</v>
      </c>
      <c r="F152" s="146" t="s">
        <v>228</v>
      </c>
      <c r="G152" s="146" t="s">
        <v>228</v>
      </c>
      <c r="H152" s="146" t="s">
        <v>228</v>
      </c>
      <c r="I152" s="146" t="s">
        <v>228</v>
      </c>
      <c r="J152" s="146" t="s">
        <v>340</v>
      </c>
      <c r="K152" s="146" t="s">
        <v>341</v>
      </c>
    </row>
    <row r="153" spans="1:11" x14ac:dyDescent="0.25">
      <c r="A153" s="146" t="s">
        <v>575</v>
      </c>
      <c r="B153" s="146" t="s">
        <v>576</v>
      </c>
      <c r="C153" s="146" t="s">
        <v>323</v>
      </c>
      <c r="D153" s="146" t="s">
        <v>324</v>
      </c>
      <c r="E153" s="146" t="s">
        <v>231</v>
      </c>
      <c r="F153" s="146" t="s">
        <v>228</v>
      </c>
      <c r="G153" s="146" t="s">
        <v>228</v>
      </c>
      <c r="H153" s="146" t="s">
        <v>228</v>
      </c>
      <c r="I153" s="146" t="s">
        <v>228</v>
      </c>
      <c r="J153" s="146" t="s">
        <v>523</v>
      </c>
      <c r="K153" s="146" t="s">
        <v>341</v>
      </c>
    </row>
    <row r="154" spans="1:11" x14ac:dyDescent="0.25">
      <c r="A154" s="146" t="s">
        <v>577</v>
      </c>
      <c r="B154" s="146" t="s">
        <v>578</v>
      </c>
      <c r="C154" s="146" t="s">
        <v>323</v>
      </c>
      <c r="D154" s="146" t="s">
        <v>324</v>
      </c>
      <c r="E154" s="146" t="s">
        <v>231</v>
      </c>
      <c r="F154" s="146" t="s">
        <v>228</v>
      </c>
      <c r="G154" s="146" t="s">
        <v>228</v>
      </c>
      <c r="H154" s="146" t="s">
        <v>228</v>
      </c>
      <c r="I154" s="146" t="s">
        <v>228</v>
      </c>
      <c r="J154" s="146" t="s">
        <v>340</v>
      </c>
      <c r="K154" s="146" t="s">
        <v>341</v>
      </c>
    </row>
    <row r="155" spans="1:11" x14ac:dyDescent="0.25">
      <c r="A155" s="146" t="s">
        <v>579</v>
      </c>
      <c r="B155" s="146" t="s">
        <v>580</v>
      </c>
      <c r="C155" s="146" t="s">
        <v>323</v>
      </c>
      <c r="D155" s="146" t="s">
        <v>324</v>
      </c>
      <c r="E155" s="146" t="s">
        <v>231</v>
      </c>
      <c r="F155" s="146" t="s">
        <v>228</v>
      </c>
      <c r="G155" s="146" t="s">
        <v>228</v>
      </c>
      <c r="H155" s="146" t="s">
        <v>228</v>
      </c>
      <c r="I155" s="146" t="s">
        <v>228</v>
      </c>
      <c r="J155" s="146" t="s">
        <v>523</v>
      </c>
      <c r="K155" s="146" t="s">
        <v>341</v>
      </c>
    </row>
    <row r="156" spans="1:11" x14ac:dyDescent="0.25">
      <c r="A156" s="146" t="s">
        <v>581</v>
      </c>
      <c r="B156" s="146" t="s">
        <v>582</v>
      </c>
      <c r="C156" s="146" t="s">
        <v>323</v>
      </c>
      <c r="D156" s="146" t="s">
        <v>324</v>
      </c>
      <c r="E156" s="146" t="s">
        <v>231</v>
      </c>
      <c r="F156" s="146" t="s">
        <v>228</v>
      </c>
      <c r="G156" s="146" t="s">
        <v>228</v>
      </c>
      <c r="H156" s="146" t="s">
        <v>228</v>
      </c>
      <c r="I156" s="146" t="s">
        <v>228</v>
      </c>
      <c r="J156" s="146" t="s">
        <v>340</v>
      </c>
      <c r="K156" s="146" t="s">
        <v>341</v>
      </c>
    </row>
    <row r="157" spans="1:11" x14ac:dyDescent="0.25">
      <c r="A157" s="146" t="s">
        <v>583</v>
      </c>
      <c r="B157" s="146" t="s">
        <v>584</v>
      </c>
      <c r="C157" s="146" t="s">
        <v>323</v>
      </c>
      <c r="D157" s="146" t="s">
        <v>324</v>
      </c>
      <c r="E157" s="146" t="s">
        <v>231</v>
      </c>
      <c r="F157" s="146" t="s">
        <v>228</v>
      </c>
      <c r="G157" s="146" t="s">
        <v>228</v>
      </c>
      <c r="H157" s="146" t="s">
        <v>228</v>
      </c>
      <c r="I157" s="146" t="s">
        <v>228</v>
      </c>
      <c r="J157" s="146" t="s">
        <v>340</v>
      </c>
      <c r="K157" s="146" t="s">
        <v>341</v>
      </c>
    </row>
    <row r="158" spans="1:11" x14ac:dyDescent="0.25">
      <c r="A158" s="146" t="s">
        <v>585</v>
      </c>
      <c r="B158" s="146" t="s">
        <v>586</v>
      </c>
      <c r="C158" s="146" t="s">
        <v>323</v>
      </c>
      <c r="D158" s="146" t="s">
        <v>324</v>
      </c>
      <c r="E158" s="146" t="s">
        <v>231</v>
      </c>
      <c r="F158" s="146" t="s">
        <v>228</v>
      </c>
      <c r="G158" s="146" t="s">
        <v>228</v>
      </c>
      <c r="H158" s="146" t="s">
        <v>228</v>
      </c>
      <c r="I158" s="146" t="s">
        <v>228</v>
      </c>
      <c r="J158" s="146" t="s">
        <v>340</v>
      </c>
      <c r="K158" s="146" t="s">
        <v>235</v>
      </c>
    </row>
    <row r="159" spans="1:11" x14ac:dyDescent="0.25">
      <c r="A159" s="146" t="s">
        <v>587</v>
      </c>
      <c r="B159" s="146" t="s">
        <v>588</v>
      </c>
      <c r="C159" s="146" t="s">
        <v>323</v>
      </c>
      <c r="D159" s="146" t="s">
        <v>324</v>
      </c>
      <c r="E159" s="146" t="s">
        <v>231</v>
      </c>
      <c r="F159" s="146" t="s">
        <v>228</v>
      </c>
      <c r="G159" s="146" t="s">
        <v>228</v>
      </c>
      <c r="H159" s="146" t="s">
        <v>228</v>
      </c>
      <c r="I159" s="146" t="s">
        <v>228</v>
      </c>
      <c r="J159" s="146" t="s">
        <v>340</v>
      </c>
      <c r="K159" s="146" t="s">
        <v>341</v>
      </c>
    </row>
    <row r="160" spans="1:11" x14ac:dyDescent="0.25">
      <c r="A160" s="146" t="s">
        <v>589</v>
      </c>
      <c r="B160" s="146" t="s">
        <v>590</v>
      </c>
      <c r="C160" s="146" t="s">
        <v>323</v>
      </c>
      <c r="D160" s="146" t="s">
        <v>324</v>
      </c>
      <c r="E160" s="146" t="s">
        <v>231</v>
      </c>
      <c r="F160" s="146" t="s">
        <v>228</v>
      </c>
      <c r="G160" s="146" t="s">
        <v>228</v>
      </c>
      <c r="H160" s="146" t="s">
        <v>228</v>
      </c>
      <c r="I160" s="146" t="s">
        <v>228</v>
      </c>
      <c r="J160" s="146" t="s">
        <v>523</v>
      </c>
      <c r="K160" s="146" t="s">
        <v>341</v>
      </c>
    </row>
    <row r="161" spans="1:11" x14ac:dyDescent="0.25">
      <c r="A161" s="146" t="s">
        <v>591</v>
      </c>
      <c r="B161" s="146" t="s">
        <v>592</v>
      </c>
      <c r="C161" s="146" t="s">
        <v>323</v>
      </c>
      <c r="D161" s="146" t="s">
        <v>324</v>
      </c>
      <c r="E161" s="146" t="s">
        <v>231</v>
      </c>
      <c r="F161" s="146" t="s">
        <v>228</v>
      </c>
      <c r="G161" s="146" t="s">
        <v>228</v>
      </c>
      <c r="H161" s="146" t="s">
        <v>228</v>
      </c>
      <c r="I161" s="146" t="s">
        <v>228</v>
      </c>
      <c r="J161" s="146" t="s">
        <v>340</v>
      </c>
      <c r="K161" s="146" t="s">
        <v>235</v>
      </c>
    </row>
    <row r="162" spans="1:11" x14ac:dyDescent="0.25">
      <c r="A162" s="146" t="s">
        <v>593</v>
      </c>
      <c r="B162" s="146" t="s">
        <v>594</v>
      </c>
      <c r="C162" s="146" t="s">
        <v>323</v>
      </c>
      <c r="D162" s="146" t="s">
        <v>324</v>
      </c>
      <c r="E162" s="146" t="s">
        <v>231</v>
      </c>
      <c r="F162" s="146" t="s">
        <v>228</v>
      </c>
      <c r="G162" s="146" t="s">
        <v>228</v>
      </c>
      <c r="H162" s="146" t="s">
        <v>228</v>
      </c>
      <c r="I162" s="146" t="s">
        <v>228</v>
      </c>
      <c r="J162" s="146" t="s">
        <v>340</v>
      </c>
      <c r="K162" s="146" t="s">
        <v>341</v>
      </c>
    </row>
    <row r="163" spans="1:11" x14ac:dyDescent="0.25">
      <c r="A163" s="146" t="s">
        <v>595</v>
      </c>
      <c r="B163" s="146" t="s">
        <v>596</v>
      </c>
      <c r="C163" s="146" t="s">
        <v>323</v>
      </c>
      <c r="D163" s="146" t="s">
        <v>324</v>
      </c>
      <c r="E163" s="146" t="s">
        <v>231</v>
      </c>
      <c r="F163" s="146" t="s">
        <v>228</v>
      </c>
      <c r="G163" s="146" t="s">
        <v>228</v>
      </c>
      <c r="H163" s="146" t="s">
        <v>228</v>
      </c>
      <c r="I163" s="146" t="s">
        <v>228</v>
      </c>
      <c r="J163" s="146" t="s">
        <v>340</v>
      </c>
      <c r="K163" s="146" t="s">
        <v>341</v>
      </c>
    </row>
    <row r="164" spans="1:11" x14ac:dyDescent="0.25">
      <c r="A164" s="146" t="s">
        <v>597</v>
      </c>
      <c r="B164" s="146" t="s">
        <v>488</v>
      </c>
      <c r="C164" s="146" t="s">
        <v>323</v>
      </c>
      <c r="D164" s="146" t="s">
        <v>324</v>
      </c>
      <c r="E164" s="146" t="s">
        <v>231</v>
      </c>
      <c r="F164" s="146" t="s">
        <v>228</v>
      </c>
      <c r="G164" s="146" t="s">
        <v>228</v>
      </c>
      <c r="H164" s="146" t="s">
        <v>228</v>
      </c>
      <c r="I164" s="146" t="s">
        <v>228</v>
      </c>
      <c r="J164" s="146" t="s">
        <v>340</v>
      </c>
      <c r="K164" s="146" t="s">
        <v>235</v>
      </c>
    </row>
    <row r="165" spans="1:11" x14ac:dyDescent="0.25">
      <c r="A165" s="146" t="s">
        <v>598</v>
      </c>
      <c r="B165" s="146" t="s">
        <v>599</v>
      </c>
      <c r="C165" s="146" t="s">
        <v>323</v>
      </c>
      <c r="D165" s="146" t="s">
        <v>324</v>
      </c>
      <c r="E165" s="146" t="s">
        <v>231</v>
      </c>
      <c r="F165" s="146" t="s">
        <v>228</v>
      </c>
      <c r="G165" s="146" t="s">
        <v>228</v>
      </c>
      <c r="H165" s="146" t="s">
        <v>228</v>
      </c>
      <c r="I165" s="146" t="s">
        <v>228</v>
      </c>
      <c r="J165" s="146" t="s">
        <v>340</v>
      </c>
      <c r="K165" s="146" t="s">
        <v>341</v>
      </c>
    </row>
    <row r="166" spans="1:11" x14ac:dyDescent="0.25">
      <c r="A166" s="146" t="s">
        <v>600</v>
      </c>
      <c r="B166" s="146" t="s">
        <v>601</v>
      </c>
      <c r="C166" s="146" t="s">
        <v>323</v>
      </c>
      <c r="D166" s="146" t="s">
        <v>324</v>
      </c>
      <c r="E166" s="146" t="s">
        <v>231</v>
      </c>
      <c r="F166" s="146" t="s">
        <v>228</v>
      </c>
      <c r="G166" s="146" t="s">
        <v>228</v>
      </c>
      <c r="H166" s="146" t="s">
        <v>228</v>
      </c>
      <c r="I166" s="146" t="s">
        <v>228</v>
      </c>
      <c r="J166" s="146" t="s">
        <v>340</v>
      </c>
      <c r="K166" s="146" t="s">
        <v>235</v>
      </c>
    </row>
    <row r="167" spans="1:11" x14ac:dyDescent="0.25">
      <c r="A167" s="146" t="s">
        <v>602</v>
      </c>
      <c r="B167" s="146" t="s">
        <v>603</v>
      </c>
      <c r="C167" s="146" t="s">
        <v>323</v>
      </c>
      <c r="D167" s="146" t="s">
        <v>324</v>
      </c>
      <c r="E167" s="146" t="s">
        <v>231</v>
      </c>
      <c r="F167" s="146" t="s">
        <v>228</v>
      </c>
      <c r="G167" s="146" t="s">
        <v>228</v>
      </c>
      <c r="H167" s="146" t="s">
        <v>228</v>
      </c>
      <c r="I167" s="146" t="s">
        <v>228</v>
      </c>
      <c r="J167" s="146" t="s">
        <v>523</v>
      </c>
      <c r="K167" s="146" t="s">
        <v>235</v>
      </c>
    </row>
    <row r="168" spans="1:11" x14ac:dyDescent="0.25">
      <c r="A168" s="146" t="s">
        <v>604</v>
      </c>
      <c r="B168" s="146" t="s">
        <v>605</v>
      </c>
      <c r="C168" s="146" t="s">
        <v>323</v>
      </c>
      <c r="D168" s="146" t="s">
        <v>324</v>
      </c>
      <c r="E168" s="146" t="s">
        <v>231</v>
      </c>
      <c r="F168" s="146" t="s">
        <v>228</v>
      </c>
      <c r="G168" s="146" t="s">
        <v>228</v>
      </c>
      <c r="H168" s="146" t="s">
        <v>228</v>
      </c>
      <c r="I168" s="146" t="s">
        <v>228</v>
      </c>
      <c r="J168" s="146" t="s">
        <v>523</v>
      </c>
      <c r="K168" s="146" t="s">
        <v>235</v>
      </c>
    </row>
    <row r="169" spans="1:11" x14ac:dyDescent="0.25">
      <c r="A169" s="146" t="s">
        <v>606</v>
      </c>
      <c r="B169" s="146" t="s">
        <v>607</v>
      </c>
      <c r="C169" s="146" t="s">
        <v>323</v>
      </c>
      <c r="D169" s="146" t="s">
        <v>324</v>
      </c>
      <c r="E169" s="146" t="s">
        <v>231</v>
      </c>
      <c r="F169" s="146" t="s">
        <v>228</v>
      </c>
      <c r="G169" s="146" t="s">
        <v>228</v>
      </c>
      <c r="H169" s="146" t="s">
        <v>228</v>
      </c>
      <c r="I169" s="146" t="s">
        <v>228</v>
      </c>
      <c r="J169" s="146" t="s">
        <v>325</v>
      </c>
      <c r="K169" s="146" t="s">
        <v>235</v>
      </c>
    </row>
    <row r="170" spans="1:11" x14ac:dyDescent="0.25">
      <c r="A170" s="146" t="s">
        <v>608</v>
      </c>
      <c r="B170" s="146" t="s">
        <v>609</v>
      </c>
      <c r="C170" s="146" t="s">
        <v>323</v>
      </c>
      <c r="D170" s="146" t="s">
        <v>324</v>
      </c>
      <c r="E170" s="146" t="s">
        <v>231</v>
      </c>
      <c r="F170" s="146" t="s">
        <v>228</v>
      </c>
      <c r="G170" s="146" t="s">
        <v>228</v>
      </c>
      <c r="H170" s="146" t="s">
        <v>228</v>
      </c>
      <c r="I170" s="146" t="s">
        <v>228</v>
      </c>
      <c r="J170" s="146" t="s">
        <v>340</v>
      </c>
      <c r="K170" s="146" t="s">
        <v>235</v>
      </c>
    </row>
    <row r="171" spans="1:11" x14ac:dyDescent="0.25">
      <c r="A171" s="146" t="s">
        <v>610</v>
      </c>
      <c r="B171" s="146" t="s">
        <v>611</v>
      </c>
      <c r="C171" s="146" t="s">
        <v>323</v>
      </c>
      <c r="D171" s="146" t="s">
        <v>324</v>
      </c>
      <c r="E171" s="146" t="s">
        <v>231</v>
      </c>
      <c r="F171" s="146" t="s">
        <v>228</v>
      </c>
      <c r="G171" s="146" t="s">
        <v>228</v>
      </c>
      <c r="H171" s="146" t="s">
        <v>228</v>
      </c>
      <c r="I171" s="146" t="s">
        <v>228</v>
      </c>
      <c r="J171" s="146" t="s">
        <v>340</v>
      </c>
      <c r="K171" s="146" t="s">
        <v>235</v>
      </c>
    </row>
    <row r="172" spans="1:11" x14ac:dyDescent="0.25">
      <c r="A172" s="146" t="s">
        <v>612</v>
      </c>
      <c r="B172" s="146" t="s">
        <v>613</v>
      </c>
      <c r="C172" s="146" t="s">
        <v>323</v>
      </c>
      <c r="D172" s="146" t="s">
        <v>614</v>
      </c>
      <c r="E172" s="146" t="s">
        <v>231</v>
      </c>
      <c r="F172" s="146" t="s">
        <v>228</v>
      </c>
      <c r="G172" s="146" t="s">
        <v>228</v>
      </c>
      <c r="H172" s="146" t="s">
        <v>228</v>
      </c>
      <c r="I172" s="146" t="s">
        <v>228</v>
      </c>
      <c r="J172" s="146" t="s">
        <v>615</v>
      </c>
      <c r="K172" s="146" t="s">
        <v>235</v>
      </c>
    </row>
    <row r="173" spans="1:11" x14ac:dyDescent="0.25">
      <c r="A173" s="146" t="s">
        <v>616</v>
      </c>
      <c r="B173" s="146" t="s">
        <v>617</v>
      </c>
      <c r="C173" s="146" t="s">
        <v>323</v>
      </c>
      <c r="D173" s="146" t="s">
        <v>324</v>
      </c>
      <c r="E173" s="146" t="s">
        <v>231</v>
      </c>
      <c r="F173" s="146" t="s">
        <v>228</v>
      </c>
      <c r="G173" s="146" t="s">
        <v>228</v>
      </c>
      <c r="H173" s="146" t="s">
        <v>228</v>
      </c>
      <c r="I173" s="146" t="s">
        <v>228</v>
      </c>
      <c r="J173" s="146" t="s">
        <v>340</v>
      </c>
      <c r="K173" s="146" t="s">
        <v>235</v>
      </c>
    </row>
    <row r="174" spans="1:11" x14ac:dyDescent="0.25">
      <c r="A174" s="146" t="s">
        <v>618</v>
      </c>
      <c r="B174" s="146" t="s">
        <v>619</v>
      </c>
      <c r="C174" s="146" t="s">
        <v>323</v>
      </c>
      <c r="D174" s="146" t="s">
        <v>324</v>
      </c>
      <c r="E174" s="146" t="s">
        <v>231</v>
      </c>
      <c r="F174" s="146" t="s">
        <v>228</v>
      </c>
      <c r="G174" s="146" t="s">
        <v>228</v>
      </c>
      <c r="H174" s="146" t="s">
        <v>228</v>
      </c>
      <c r="I174" s="146" t="s">
        <v>228</v>
      </c>
      <c r="J174" s="146" t="s">
        <v>340</v>
      </c>
      <c r="K174" s="146" t="s">
        <v>235</v>
      </c>
    </row>
    <row r="175" spans="1:11" x14ac:dyDescent="0.25">
      <c r="A175" s="146" t="s">
        <v>620</v>
      </c>
      <c r="B175" s="146" t="s">
        <v>621</v>
      </c>
      <c r="C175" s="146" t="s">
        <v>238</v>
      </c>
      <c r="D175" s="146" t="s">
        <v>239</v>
      </c>
      <c r="E175" s="146" t="s">
        <v>231</v>
      </c>
      <c r="F175" s="146" t="s">
        <v>228</v>
      </c>
      <c r="G175" s="146" t="s">
        <v>228</v>
      </c>
      <c r="H175" s="146" t="s">
        <v>228</v>
      </c>
      <c r="I175" s="146" t="s">
        <v>228</v>
      </c>
      <c r="J175" s="146" t="s">
        <v>325</v>
      </c>
      <c r="K175" s="146" t="s">
        <v>235</v>
      </c>
    </row>
    <row r="176" spans="1:11" x14ac:dyDescent="0.25">
      <c r="A176" s="146" t="s">
        <v>622</v>
      </c>
      <c r="B176" s="146" t="s">
        <v>623</v>
      </c>
      <c r="C176" s="146" t="s">
        <v>238</v>
      </c>
      <c r="D176" s="146" t="s">
        <v>239</v>
      </c>
      <c r="E176" s="146" t="s">
        <v>231</v>
      </c>
      <c r="F176" s="146" t="s">
        <v>228</v>
      </c>
      <c r="G176" s="146" t="s">
        <v>228</v>
      </c>
      <c r="H176" s="146" t="s">
        <v>228</v>
      </c>
      <c r="I176" s="146" t="s">
        <v>228</v>
      </c>
      <c r="J176" s="146" t="s">
        <v>325</v>
      </c>
      <c r="K176" s="146" t="s">
        <v>235</v>
      </c>
    </row>
    <row r="177" spans="1:11" x14ac:dyDescent="0.25">
      <c r="A177" s="146" t="s">
        <v>624</v>
      </c>
      <c r="B177" s="146" t="s">
        <v>625</v>
      </c>
      <c r="C177" s="146" t="s">
        <v>238</v>
      </c>
      <c r="D177" s="146" t="s">
        <v>239</v>
      </c>
      <c r="E177" s="146" t="s">
        <v>231</v>
      </c>
      <c r="F177" s="146" t="s">
        <v>228</v>
      </c>
      <c r="G177" s="146" t="s">
        <v>228</v>
      </c>
      <c r="H177" s="146" t="s">
        <v>228</v>
      </c>
      <c r="I177" s="146" t="s">
        <v>228</v>
      </c>
      <c r="J177" s="146" t="s">
        <v>325</v>
      </c>
      <c r="K177" s="146" t="s">
        <v>235</v>
      </c>
    </row>
    <row r="178" spans="1:11" x14ac:dyDescent="0.25">
      <c r="A178" s="146" t="s">
        <v>626</v>
      </c>
      <c r="B178" s="146" t="s">
        <v>627</v>
      </c>
      <c r="C178" s="146" t="s">
        <v>323</v>
      </c>
      <c r="D178" s="146" t="s">
        <v>324</v>
      </c>
      <c r="E178" s="146" t="s">
        <v>231</v>
      </c>
      <c r="F178" s="146" t="s">
        <v>228</v>
      </c>
      <c r="G178" s="146" t="s">
        <v>228</v>
      </c>
      <c r="H178" s="146" t="s">
        <v>228</v>
      </c>
      <c r="I178" s="146" t="s">
        <v>228</v>
      </c>
      <c r="J178" s="146" t="s">
        <v>325</v>
      </c>
      <c r="K178" s="146" t="s">
        <v>235</v>
      </c>
    </row>
    <row r="179" spans="1:11" x14ac:dyDescent="0.25">
      <c r="A179" s="146" t="s">
        <v>628</v>
      </c>
      <c r="B179" s="146" t="s">
        <v>629</v>
      </c>
      <c r="C179" s="146" t="s">
        <v>323</v>
      </c>
      <c r="D179" s="146" t="s">
        <v>324</v>
      </c>
      <c r="E179" s="146" t="s">
        <v>231</v>
      </c>
      <c r="F179" s="146" t="s">
        <v>228</v>
      </c>
      <c r="G179" s="146" t="s">
        <v>228</v>
      </c>
      <c r="H179" s="146" t="s">
        <v>228</v>
      </c>
      <c r="I179" s="146" t="s">
        <v>228</v>
      </c>
      <c r="J179" s="146" t="s">
        <v>340</v>
      </c>
      <c r="K179" s="146" t="s">
        <v>235</v>
      </c>
    </row>
    <row r="180" spans="1:11" x14ac:dyDescent="0.25">
      <c r="A180" s="146" t="s">
        <v>630</v>
      </c>
      <c r="B180" s="146" t="s">
        <v>631</v>
      </c>
      <c r="C180" s="146" t="s">
        <v>323</v>
      </c>
      <c r="D180" s="146" t="s">
        <v>324</v>
      </c>
      <c r="E180" s="146" t="s">
        <v>231</v>
      </c>
      <c r="F180" s="146" t="s">
        <v>228</v>
      </c>
      <c r="G180" s="146" t="s">
        <v>228</v>
      </c>
      <c r="H180" s="146" t="s">
        <v>228</v>
      </c>
      <c r="I180" s="146" t="s">
        <v>228</v>
      </c>
      <c r="J180" s="146" t="s">
        <v>340</v>
      </c>
      <c r="K180" s="146" t="s">
        <v>341</v>
      </c>
    </row>
    <row r="181" spans="1:11" x14ac:dyDescent="0.25">
      <c r="A181" s="146" t="s">
        <v>632</v>
      </c>
      <c r="B181" s="146" t="s">
        <v>633</v>
      </c>
      <c r="C181" s="146" t="s">
        <v>323</v>
      </c>
      <c r="D181" s="146" t="s">
        <v>324</v>
      </c>
      <c r="E181" s="146" t="s">
        <v>231</v>
      </c>
      <c r="F181" s="146" t="s">
        <v>228</v>
      </c>
      <c r="G181" s="146" t="s">
        <v>228</v>
      </c>
      <c r="H181" s="146" t="s">
        <v>228</v>
      </c>
      <c r="I181" s="146" t="s">
        <v>228</v>
      </c>
      <c r="J181" s="146" t="s">
        <v>634</v>
      </c>
      <c r="K181" s="146" t="s">
        <v>235</v>
      </c>
    </row>
    <row r="182" spans="1:11" x14ac:dyDescent="0.25">
      <c r="A182" s="146" t="s">
        <v>635</v>
      </c>
      <c r="B182" s="146" t="s">
        <v>636</v>
      </c>
      <c r="C182" s="146" t="s">
        <v>323</v>
      </c>
      <c r="D182" s="146" t="s">
        <v>324</v>
      </c>
      <c r="E182" s="146" t="s">
        <v>231</v>
      </c>
      <c r="F182" s="146" t="s">
        <v>228</v>
      </c>
      <c r="G182" s="146" t="s">
        <v>228</v>
      </c>
      <c r="H182" s="146" t="s">
        <v>228</v>
      </c>
      <c r="I182" s="146" t="s">
        <v>228</v>
      </c>
      <c r="J182" s="146" t="s">
        <v>634</v>
      </c>
      <c r="K182" s="146" t="s">
        <v>235</v>
      </c>
    </row>
    <row r="183" spans="1:11" x14ac:dyDescent="0.25">
      <c r="A183" s="146" t="s">
        <v>637</v>
      </c>
      <c r="B183" s="146" t="s">
        <v>329</v>
      </c>
      <c r="C183" s="146" t="s">
        <v>328</v>
      </c>
      <c r="D183" s="146" t="s">
        <v>329</v>
      </c>
      <c r="E183" s="146" t="s">
        <v>231</v>
      </c>
      <c r="F183" s="146" t="s">
        <v>228</v>
      </c>
      <c r="G183" s="146" t="s">
        <v>228</v>
      </c>
      <c r="H183" s="146" t="s">
        <v>228</v>
      </c>
      <c r="I183" s="146" t="s">
        <v>228</v>
      </c>
      <c r="J183" s="146" t="s">
        <v>523</v>
      </c>
      <c r="K183" s="146" t="s">
        <v>235</v>
      </c>
    </row>
    <row r="184" spans="1:11" x14ac:dyDescent="0.25">
      <c r="A184" s="146" t="s">
        <v>638</v>
      </c>
      <c r="B184" s="146" t="s">
        <v>639</v>
      </c>
      <c r="C184" s="146" t="s">
        <v>323</v>
      </c>
      <c r="D184" s="146" t="s">
        <v>324</v>
      </c>
      <c r="E184" s="146" t="s">
        <v>231</v>
      </c>
      <c r="F184" s="146" t="s">
        <v>228</v>
      </c>
      <c r="G184" s="146" t="s">
        <v>228</v>
      </c>
      <c r="H184" s="146" t="s">
        <v>228</v>
      </c>
      <c r="I184" s="146" t="s">
        <v>228</v>
      </c>
      <c r="J184" s="146" t="s">
        <v>634</v>
      </c>
      <c r="K184" s="146" t="s">
        <v>235</v>
      </c>
    </row>
    <row r="185" spans="1:11" x14ac:dyDescent="0.25">
      <c r="A185" s="146" t="s">
        <v>640</v>
      </c>
      <c r="B185" s="146" t="s">
        <v>641</v>
      </c>
      <c r="C185" s="146" t="s">
        <v>323</v>
      </c>
      <c r="D185" s="146" t="s">
        <v>324</v>
      </c>
      <c r="E185" s="146" t="s">
        <v>231</v>
      </c>
      <c r="F185" s="146" t="s">
        <v>228</v>
      </c>
      <c r="G185" s="146" t="s">
        <v>228</v>
      </c>
      <c r="H185" s="146" t="s">
        <v>228</v>
      </c>
      <c r="I185" s="146" t="s">
        <v>228</v>
      </c>
      <c r="J185" s="146" t="s">
        <v>634</v>
      </c>
      <c r="K185" s="146" t="s">
        <v>235</v>
      </c>
    </row>
    <row r="186" spans="1:11" x14ac:dyDescent="0.25">
      <c r="A186" s="146" t="s">
        <v>642</v>
      </c>
      <c r="B186" s="146" t="s">
        <v>643</v>
      </c>
      <c r="C186" s="146" t="s">
        <v>323</v>
      </c>
      <c r="D186" s="146" t="s">
        <v>324</v>
      </c>
      <c r="E186" s="146" t="s">
        <v>231</v>
      </c>
      <c r="F186" s="146" t="s">
        <v>228</v>
      </c>
      <c r="G186" s="146" t="s">
        <v>228</v>
      </c>
      <c r="H186" s="146" t="s">
        <v>228</v>
      </c>
      <c r="I186" s="146" t="s">
        <v>228</v>
      </c>
      <c r="J186" s="146" t="s">
        <v>634</v>
      </c>
      <c r="K186" s="146" t="s">
        <v>235</v>
      </c>
    </row>
    <row r="187" spans="1:11" x14ac:dyDescent="0.25">
      <c r="A187" s="146" t="s">
        <v>644</v>
      </c>
      <c r="B187" s="146" t="s">
        <v>645</v>
      </c>
      <c r="C187" s="146" t="s">
        <v>323</v>
      </c>
      <c r="D187" s="146" t="s">
        <v>324</v>
      </c>
      <c r="E187" s="146" t="s">
        <v>231</v>
      </c>
      <c r="F187" s="146" t="s">
        <v>228</v>
      </c>
      <c r="G187" s="146" t="s">
        <v>228</v>
      </c>
      <c r="H187" s="146" t="s">
        <v>228</v>
      </c>
      <c r="I187" s="146" t="s">
        <v>228</v>
      </c>
      <c r="J187" s="146" t="s">
        <v>634</v>
      </c>
      <c r="K187" s="146" t="s">
        <v>235</v>
      </c>
    </row>
    <row r="188" spans="1:11" x14ac:dyDescent="0.25">
      <c r="A188" s="146" t="s">
        <v>646</v>
      </c>
      <c r="B188" s="146" t="s">
        <v>647</v>
      </c>
      <c r="C188" s="146" t="s">
        <v>323</v>
      </c>
      <c r="D188" s="146" t="s">
        <v>324</v>
      </c>
      <c r="E188" s="146" t="s">
        <v>231</v>
      </c>
      <c r="F188" s="146" t="s">
        <v>228</v>
      </c>
      <c r="G188" s="146" t="s">
        <v>228</v>
      </c>
      <c r="H188" s="146" t="s">
        <v>228</v>
      </c>
      <c r="I188" s="146" t="s">
        <v>228</v>
      </c>
      <c r="J188" s="146" t="s">
        <v>648</v>
      </c>
      <c r="K188" s="146" t="s">
        <v>341</v>
      </c>
    </row>
    <row r="189" spans="1:11" x14ac:dyDescent="0.25">
      <c r="A189" s="146" t="s">
        <v>649</v>
      </c>
      <c r="B189" s="146" t="s">
        <v>650</v>
      </c>
      <c r="C189" s="146" t="s">
        <v>323</v>
      </c>
      <c r="D189" s="146" t="s">
        <v>324</v>
      </c>
      <c r="E189" s="146" t="s">
        <v>231</v>
      </c>
      <c r="F189" s="146" t="s">
        <v>228</v>
      </c>
      <c r="G189" s="146" t="s">
        <v>228</v>
      </c>
      <c r="H189" s="146" t="s">
        <v>228</v>
      </c>
      <c r="I189" s="146" t="s">
        <v>228</v>
      </c>
      <c r="J189" s="146" t="s">
        <v>648</v>
      </c>
      <c r="K189" s="146" t="s">
        <v>341</v>
      </c>
    </row>
    <row r="190" spans="1:11" x14ac:dyDescent="0.25">
      <c r="A190" s="146" t="s">
        <v>651</v>
      </c>
      <c r="B190" s="146" t="s">
        <v>652</v>
      </c>
      <c r="C190" s="146" t="s">
        <v>323</v>
      </c>
      <c r="D190" s="146" t="s">
        <v>324</v>
      </c>
      <c r="E190" s="146" t="s">
        <v>231</v>
      </c>
      <c r="F190" s="146" t="s">
        <v>228</v>
      </c>
      <c r="G190" s="146" t="s">
        <v>228</v>
      </c>
      <c r="H190" s="146" t="s">
        <v>228</v>
      </c>
      <c r="I190" s="146" t="s">
        <v>228</v>
      </c>
      <c r="J190" s="146" t="s">
        <v>634</v>
      </c>
      <c r="K190" s="146" t="s">
        <v>235</v>
      </c>
    </row>
    <row r="191" spans="1:11" x14ac:dyDescent="0.25">
      <c r="A191" s="146" t="s">
        <v>653</v>
      </c>
      <c r="B191" s="146" t="s">
        <v>654</v>
      </c>
      <c r="C191" s="146" t="s">
        <v>323</v>
      </c>
      <c r="D191" s="146" t="s">
        <v>655</v>
      </c>
      <c r="E191" s="146" t="s">
        <v>656</v>
      </c>
      <c r="F191" s="146" t="s">
        <v>228</v>
      </c>
      <c r="G191" s="146" t="s">
        <v>228</v>
      </c>
      <c r="H191" s="146" t="s">
        <v>228</v>
      </c>
      <c r="I191" s="146" t="s">
        <v>228</v>
      </c>
      <c r="J191" s="146" t="s">
        <v>657</v>
      </c>
      <c r="K191" s="146" t="s">
        <v>235</v>
      </c>
    </row>
    <row r="192" spans="1:11" x14ac:dyDescent="0.25">
      <c r="A192" s="146" t="s">
        <v>658</v>
      </c>
      <c r="B192" s="146" t="s">
        <v>659</v>
      </c>
      <c r="C192" s="146" t="s">
        <v>323</v>
      </c>
      <c r="D192" s="146" t="s">
        <v>655</v>
      </c>
      <c r="E192" s="146" t="s">
        <v>656</v>
      </c>
      <c r="F192" s="146" t="s">
        <v>228</v>
      </c>
      <c r="G192" s="146" t="s">
        <v>228</v>
      </c>
      <c r="H192" s="146" t="s">
        <v>228</v>
      </c>
      <c r="I192" s="146" t="s">
        <v>228</v>
      </c>
      <c r="J192" s="146" t="s">
        <v>660</v>
      </c>
      <c r="K192" s="146" t="s">
        <v>235</v>
      </c>
    </row>
    <row r="193" spans="1:11" x14ac:dyDescent="0.25">
      <c r="A193" s="146" t="s">
        <v>661</v>
      </c>
      <c r="B193" s="146" t="s">
        <v>662</v>
      </c>
      <c r="C193" s="146" t="s">
        <v>323</v>
      </c>
      <c r="D193" s="146" t="s">
        <v>324</v>
      </c>
      <c r="E193" s="146" t="s">
        <v>231</v>
      </c>
      <c r="F193" s="146" t="s">
        <v>228</v>
      </c>
      <c r="G193" s="146" t="s">
        <v>228</v>
      </c>
      <c r="H193" s="146" t="s">
        <v>228</v>
      </c>
      <c r="I193" s="146" t="s">
        <v>228</v>
      </c>
      <c r="J193" s="146" t="s">
        <v>634</v>
      </c>
      <c r="K193" s="146" t="s">
        <v>235</v>
      </c>
    </row>
    <row r="194" spans="1:11" x14ac:dyDescent="0.25">
      <c r="A194" s="146" t="s">
        <v>663</v>
      </c>
      <c r="B194" s="146" t="s">
        <v>664</v>
      </c>
      <c r="C194" s="146" t="s">
        <v>323</v>
      </c>
      <c r="D194" s="146" t="s">
        <v>324</v>
      </c>
      <c r="E194" s="146" t="s">
        <v>231</v>
      </c>
      <c r="F194" s="146" t="s">
        <v>228</v>
      </c>
      <c r="G194" s="146" t="s">
        <v>228</v>
      </c>
      <c r="H194" s="146" t="s">
        <v>228</v>
      </c>
      <c r="I194" s="146" t="s">
        <v>228</v>
      </c>
      <c r="J194" s="146" t="s">
        <v>634</v>
      </c>
      <c r="K194" s="146" t="s">
        <v>235</v>
      </c>
    </row>
    <row r="195" spans="1:11" x14ac:dyDescent="0.25">
      <c r="A195" s="146" t="s">
        <v>665</v>
      </c>
      <c r="B195" s="146" t="s">
        <v>666</v>
      </c>
      <c r="C195" s="146" t="s">
        <v>323</v>
      </c>
      <c r="D195" s="146" t="s">
        <v>324</v>
      </c>
      <c r="E195" s="146" t="s">
        <v>231</v>
      </c>
      <c r="F195" s="146" t="s">
        <v>228</v>
      </c>
      <c r="G195" s="146" t="s">
        <v>228</v>
      </c>
      <c r="H195" s="146" t="s">
        <v>228</v>
      </c>
      <c r="I195" s="146" t="s">
        <v>228</v>
      </c>
      <c r="J195" s="146" t="s">
        <v>634</v>
      </c>
      <c r="K195" s="146" t="s">
        <v>235</v>
      </c>
    </row>
    <row r="196" spans="1:11" x14ac:dyDescent="0.25">
      <c r="A196" s="146" t="s">
        <v>667</v>
      </c>
      <c r="B196" s="146" t="s">
        <v>668</v>
      </c>
      <c r="C196" s="146" t="s">
        <v>323</v>
      </c>
      <c r="D196" s="146" t="s">
        <v>324</v>
      </c>
      <c r="E196" s="146" t="s">
        <v>231</v>
      </c>
      <c r="F196" s="146" t="s">
        <v>228</v>
      </c>
      <c r="G196" s="146" t="s">
        <v>228</v>
      </c>
      <c r="H196" s="146" t="s">
        <v>228</v>
      </c>
      <c r="I196" s="146" t="s">
        <v>228</v>
      </c>
      <c r="J196" s="146" t="s">
        <v>634</v>
      </c>
      <c r="K196" s="146" t="s">
        <v>235</v>
      </c>
    </row>
    <row r="197" spans="1:11" x14ac:dyDescent="0.25">
      <c r="A197" s="146" t="s">
        <v>669</v>
      </c>
      <c r="B197" s="146" t="s">
        <v>670</v>
      </c>
      <c r="C197" s="146" t="s">
        <v>323</v>
      </c>
      <c r="D197" s="146" t="s">
        <v>324</v>
      </c>
      <c r="E197" s="146" t="s">
        <v>231</v>
      </c>
      <c r="F197" s="146" t="s">
        <v>228</v>
      </c>
      <c r="G197" s="146" t="s">
        <v>228</v>
      </c>
      <c r="H197" s="146" t="s">
        <v>228</v>
      </c>
      <c r="I197" s="146" t="s">
        <v>228</v>
      </c>
      <c r="J197" s="146" t="s">
        <v>634</v>
      </c>
      <c r="K197" s="146" t="s">
        <v>235</v>
      </c>
    </row>
    <row r="198" spans="1:11" x14ac:dyDescent="0.25">
      <c r="A198" s="146" t="s">
        <v>671</v>
      </c>
      <c r="B198" s="146" t="s">
        <v>672</v>
      </c>
      <c r="C198" s="146" t="s">
        <v>323</v>
      </c>
      <c r="D198" s="146" t="s">
        <v>324</v>
      </c>
      <c r="E198" s="146" t="s">
        <v>231</v>
      </c>
      <c r="F198" s="146" t="s">
        <v>228</v>
      </c>
      <c r="G198" s="146" t="s">
        <v>228</v>
      </c>
      <c r="H198" s="146" t="s">
        <v>228</v>
      </c>
      <c r="I198" s="146" t="s">
        <v>228</v>
      </c>
      <c r="J198" s="146" t="s">
        <v>634</v>
      </c>
      <c r="K198" s="146" t="s">
        <v>263</v>
      </c>
    </row>
    <row r="199" spans="1:11" x14ac:dyDescent="0.25">
      <c r="A199" s="146" t="s">
        <v>673</v>
      </c>
      <c r="B199" s="146" t="s">
        <v>674</v>
      </c>
      <c r="C199" s="146" t="s">
        <v>323</v>
      </c>
      <c r="D199" s="146" t="s">
        <v>324</v>
      </c>
      <c r="E199" s="146" t="s">
        <v>231</v>
      </c>
      <c r="F199" s="146" t="s">
        <v>228</v>
      </c>
      <c r="G199" s="146" t="s">
        <v>228</v>
      </c>
      <c r="H199" s="146" t="s">
        <v>228</v>
      </c>
      <c r="I199" s="146" t="s">
        <v>228</v>
      </c>
      <c r="J199" s="146" t="s">
        <v>634</v>
      </c>
      <c r="K199" s="146" t="s">
        <v>235</v>
      </c>
    </row>
    <row r="200" spans="1:11" x14ac:dyDescent="0.25">
      <c r="A200" s="146" t="s">
        <v>675</v>
      </c>
      <c r="B200" s="146" t="s">
        <v>676</v>
      </c>
      <c r="C200" s="146" t="s">
        <v>323</v>
      </c>
      <c r="D200" s="146" t="s">
        <v>324</v>
      </c>
      <c r="E200" s="146" t="s">
        <v>231</v>
      </c>
      <c r="F200" s="146" t="s">
        <v>228</v>
      </c>
      <c r="G200" s="146" t="s">
        <v>228</v>
      </c>
      <c r="H200" s="146" t="s">
        <v>228</v>
      </c>
      <c r="I200" s="146" t="s">
        <v>228</v>
      </c>
      <c r="J200" s="146" t="s">
        <v>648</v>
      </c>
      <c r="K200" s="146" t="s">
        <v>341</v>
      </c>
    </row>
    <row r="201" spans="1:11" x14ac:dyDescent="0.25">
      <c r="A201" s="146" t="s">
        <v>677</v>
      </c>
      <c r="B201" s="146" t="s">
        <v>678</v>
      </c>
      <c r="C201" s="146" t="s">
        <v>323</v>
      </c>
      <c r="D201" s="146" t="s">
        <v>324</v>
      </c>
      <c r="E201" s="146" t="s">
        <v>231</v>
      </c>
      <c r="F201" s="146" t="s">
        <v>228</v>
      </c>
      <c r="G201" s="146" t="s">
        <v>228</v>
      </c>
      <c r="H201" s="146" t="s">
        <v>228</v>
      </c>
      <c r="I201" s="146" t="s">
        <v>228</v>
      </c>
      <c r="J201" s="146" t="s">
        <v>325</v>
      </c>
      <c r="K201" s="146" t="s">
        <v>235</v>
      </c>
    </row>
    <row r="202" spans="1:11" x14ac:dyDescent="0.25">
      <c r="A202" s="146" t="s">
        <v>679</v>
      </c>
      <c r="B202" s="146" t="s">
        <v>680</v>
      </c>
      <c r="C202" s="146" t="s">
        <v>323</v>
      </c>
      <c r="D202" s="146" t="s">
        <v>324</v>
      </c>
      <c r="E202" s="146" t="s">
        <v>231</v>
      </c>
      <c r="F202" s="146" t="s">
        <v>228</v>
      </c>
      <c r="G202" s="146" t="s">
        <v>228</v>
      </c>
      <c r="H202" s="146" t="s">
        <v>228</v>
      </c>
      <c r="I202" s="146" t="s">
        <v>228</v>
      </c>
      <c r="J202" s="146" t="s">
        <v>634</v>
      </c>
      <c r="K202" s="146" t="s">
        <v>235</v>
      </c>
    </row>
    <row r="203" spans="1:11" x14ac:dyDescent="0.25">
      <c r="A203" s="146" t="s">
        <v>681</v>
      </c>
      <c r="B203" s="146" t="s">
        <v>446</v>
      </c>
      <c r="C203" s="146" t="s">
        <v>323</v>
      </c>
      <c r="D203" s="146" t="s">
        <v>324</v>
      </c>
      <c r="E203" s="146" t="s">
        <v>231</v>
      </c>
      <c r="F203" s="146" t="s">
        <v>228</v>
      </c>
      <c r="G203" s="146" t="s">
        <v>228</v>
      </c>
      <c r="H203" s="146" t="s">
        <v>228</v>
      </c>
      <c r="I203" s="146" t="s">
        <v>228</v>
      </c>
      <c r="J203" s="146" t="s">
        <v>634</v>
      </c>
      <c r="K203" s="146" t="s">
        <v>263</v>
      </c>
    </row>
    <row r="204" spans="1:11" x14ac:dyDescent="0.25">
      <c r="A204" s="146" t="s">
        <v>682</v>
      </c>
      <c r="B204" s="146" t="s">
        <v>407</v>
      </c>
      <c r="C204" s="146" t="s">
        <v>323</v>
      </c>
      <c r="D204" s="146" t="s">
        <v>324</v>
      </c>
      <c r="E204" s="146" t="s">
        <v>231</v>
      </c>
      <c r="F204" s="146" t="s">
        <v>228</v>
      </c>
      <c r="G204" s="146" t="s">
        <v>228</v>
      </c>
      <c r="H204" s="146" t="s">
        <v>228</v>
      </c>
      <c r="I204" s="146" t="s">
        <v>228</v>
      </c>
      <c r="J204" s="146" t="s">
        <v>634</v>
      </c>
      <c r="K204" s="146" t="s">
        <v>341</v>
      </c>
    </row>
    <row r="205" spans="1:11" x14ac:dyDescent="0.25">
      <c r="A205" s="146" t="s">
        <v>683</v>
      </c>
      <c r="B205" s="146" t="s">
        <v>684</v>
      </c>
      <c r="C205" s="146" t="s">
        <v>323</v>
      </c>
      <c r="D205" s="146" t="s">
        <v>324</v>
      </c>
      <c r="E205" s="146" t="s">
        <v>231</v>
      </c>
      <c r="F205" s="146" t="s">
        <v>228</v>
      </c>
      <c r="G205" s="146" t="s">
        <v>228</v>
      </c>
      <c r="H205" s="146" t="s">
        <v>228</v>
      </c>
      <c r="I205" s="146" t="s">
        <v>228</v>
      </c>
      <c r="J205" s="146" t="s">
        <v>634</v>
      </c>
      <c r="K205" s="146" t="s">
        <v>235</v>
      </c>
    </row>
    <row r="206" spans="1:11" x14ac:dyDescent="0.25">
      <c r="A206" s="146" t="s">
        <v>685</v>
      </c>
      <c r="B206" s="146" t="s">
        <v>686</v>
      </c>
      <c r="C206" s="146" t="s">
        <v>323</v>
      </c>
      <c r="D206" s="146" t="s">
        <v>324</v>
      </c>
      <c r="E206" s="146" t="s">
        <v>231</v>
      </c>
      <c r="F206" s="146" t="s">
        <v>228</v>
      </c>
      <c r="G206" s="146" t="s">
        <v>228</v>
      </c>
      <c r="H206" s="146" t="s">
        <v>228</v>
      </c>
      <c r="I206" s="146" t="s">
        <v>228</v>
      </c>
      <c r="J206" s="146" t="s">
        <v>687</v>
      </c>
      <c r="K206" s="146" t="s">
        <v>235</v>
      </c>
    </row>
    <row r="207" spans="1:11" x14ac:dyDescent="0.25">
      <c r="A207" s="146" t="s">
        <v>688</v>
      </c>
      <c r="B207" s="146" t="s">
        <v>689</v>
      </c>
      <c r="C207" s="146" t="s">
        <v>323</v>
      </c>
      <c r="D207" s="146" t="s">
        <v>324</v>
      </c>
      <c r="E207" s="146" t="s">
        <v>231</v>
      </c>
      <c r="F207" s="146" t="s">
        <v>228</v>
      </c>
      <c r="G207" s="146" t="s">
        <v>228</v>
      </c>
      <c r="H207" s="146" t="s">
        <v>228</v>
      </c>
      <c r="I207" s="146" t="s">
        <v>228</v>
      </c>
      <c r="J207" s="146" t="s">
        <v>634</v>
      </c>
      <c r="K207" s="146" t="s">
        <v>235</v>
      </c>
    </row>
    <row r="208" spans="1:11" x14ac:dyDescent="0.25">
      <c r="A208" s="146" t="s">
        <v>690</v>
      </c>
      <c r="B208" s="146" t="s">
        <v>691</v>
      </c>
      <c r="C208" s="146" t="s">
        <v>323</v>
      </c>
      <c r="D208" s="146" t="s">
        <v>324</v>
      </c>
      <c r="E208" s="146" t="s">
        <v>231</v>
      </c>
      <c r="F208" s="146" t="s">
        <v>228</v>
      </c>
      <c r="G208" s="146" t="s">
        <v>228</v>
      </c>
      <c r="H208" s="146" t="s">
        <v>228</v>
      </c>
      <c r="I208" s="146" t="s">
        <v>228</v>
      </c>
      <c r="J208" s="146" t="s">
        <v>634</v>
      </c>
      <c r="K208" s="146" t="s">
        <v>235</v>
      </c>
    </row>
    <row r="209" spans="1:11" x14ac:dyDescent="0.25">
      <c r="A209" s="146" t="s">
        <v>692</v>
      </c>
      <c r="B209" s="146" t="s">
        <v>329</v>
      </c>
      <c r="C209" s="146" t="s">
        <v>328</v>
      </c>
      <c r="D209" s="146" t="s">
        <v>329</v>
      </c>
      <c r="E209" s="146" t="s">
        <v>231</v>
      </c>
      <c r="F209" s="146" t="s">
        <v>228</v>
      </c>
      <c r="G209" s="146" t="s">
        <v>228</v>
      </c>
      <c r="H209" s="146" t="s">
        <v>228</v>
      </c>
      <c r="I209" s="146" t="s">
        <v>228</v>
      </c>
      <c r="J209" s="146" t="s">
        <v>693</v>
      </c>
      <c r="K209" s="146" t="s">
        <v>235</v>
      </c>
    </row>
    <row r="210" spans="1:11" x14ac:dyDescent="0.25">
      <c r="A210" s="146" t="s">
        <v>694</v>
      </c>
      <c r="B210" s="146" t="s">
        <v>695</v>
      </c>
      <c r="C210" s="146" t="s">
        <v>328</v>
      </c>
      <c r="D210" s="146" t="s">
        <v>329</v>
      </c>
      <c r="E210" s="146" t="s">
        <v>231</v>
      </c>
      <c r="F210" s="146" t="s">
        <v>228</v>
      </c>
      <c r="G210" s="146" t="s">
        <v>228</v>
      </c>
      <c r="H210" s="146" t="s">
        <v>228</v>
      </c>
      <c r="I210" s="146" t="s">
        <v>228</v>
      </c>
      <c r="J210" s="146" t="s">
        <v>314</v>
      </c>
      <c r="K210" s="146" t="s">
        <v>341</v>
      </c>
    </row>
    <row r="211" spans="1:11" x14ac:dyDescent="0.25">
      <c r="A211" s="146" t="s">
        <v>696</v>
      </c>
      <c r="B211" s="146" t="s">
        <v>697</v>
      </c>
      <c r="C211" s="146" t="s">
        <v>328</v>
      </c>
      <c r="D211" s="146" t="s">
        <v>329</v>
      </c>
      <c r="E211" s="146" t="s">
        <v>231</v>
      </c>
      <c r="F211" s="146" t="s">
        <v>228</v>
      </c>
      <c r="G211" s="146" t="s">
        <v>228</v>
      </c>
      <c r="H211" s="146" t="s">
        <v>228</v>
      </c>
      <c r="I211" s="146" t="s">
        <v>228</v>
      </c>
      <c r="J211" s="146" t="s">
        <v>325</v>
      </c>
      <c r="K211" s="146" t="s">
        <v>341</v>
      </c>
    </row>
    <row r="212" spans="1:11" x14ac:dyDescent="0.25">
      <c r="A212" s="146" t="s">
        <v>698</v>
      </c>
      <c r="B212" s="146" t="s">
        <v>699</v>
      </c>
      <c r="C212" s="146" t="s">
        <v>328</v>
      </c>
      <c r="D212" s="146" t="s">
        <v>329</v>
      </c>
      <c r="E212" s="146" t="s">
        <v>231</v>
      </c>
      <c r="F212" s="146" t="s">
        <v>228</v>
      </c>
      <c r="G212" s="146" t="s">
        <v>228</v>
      </c>
      <c r="H212" s="146" t="s">
        <v>228</v>
      </c>
      <c r="I212" s="146" t="s">
        <v>228</v>
      </c>
      <c r="J212" s="146" t="s">
        <v>523</v>
      </c>
      <c r="K212" s="146" t="s">
        <v>235</v>
      </c>
    </row>
    <row r="213" spans="1:11" x14ac:dyDescent="0.25">
      <c r="A213" s="146" t="s">
        <v>700</v>
      </c>
      <c r="B213" s="146" t="s">
        <v>701</v>
      </c>
      <c r="C213" s="146" t="s">
        <v>328</v>
      </c>
      <c r="D213" s="146" t="s">
        <v>329</v>
      </c>
      <c r="E213" s="146" t="s">
        <v>231</v>
      </c>
      <c r="F213" s="146" t="s">
        <v>228</v>
      </c>
      <c r="G213" s="146" t="s">
        <v>228</v>
      </c>
      <c r="H213" s="146" t="s">
        <v>228</v>
      </c>
      <c r="I213" s="146" t="s">
        <v>228</v>
      </c>
      <c r="J213" s="146" t="s">
        <v>523</v>
      </c>
      <c r="K213" s="146" t="s">
        <v>235</v>
      </c>
    </row>
    <row r="214" spans="1:11" x14ac:dyDescent="0.25">
      <c r="A214" s="146" t="s">
        <v>702</v>
      </c>
      <c r="B214" s="146" t="s">
        <v>703</v>
      </c>
      <c r="C214" s="146" t="s">
        <v>328</v>
      </c>
      <c r="D214" s="146" t="s">
        <v>329</v>
      </c>
      <c r="E214" s="146" t="s">
        <v>231</v>
      </c>
      <c r="F214" s="146" t="s">
        <v>228</v>
      </c>
      <c r="G214" s="146" t="s">
        <v>228</v>
      </c>
      <c r="H214" s="146" t="s">
        <v>228</v>
      </c>
      <c r="I214" s="146" t="s">
        <v>228</v>
      </c>
      <c r="J214" s="146" t="s">
        <v>704</v>
      </c>
      <c r="K214" s="146" t="s">
        <v>235</v>
      </c>
    </row>
    <row r="215" spans="1:11" x14ac:dyDescent="0.25">
      <c r="A215" s="146" t="s">
        <v>705</v>
      </c>
      <c r="B215" s="146" t="s">
        <v>706</v>
      </c>
      <c r="C215" s="146" t="s">
        <v>328</v>
      </c>
      <c r="D215" s="146" t="s">
        <v>329</v>
      </c>
      <c r="E215" s="146" t="s">
        <v>707</v>
      </c>
      <c r="F215" s="146" t="s">
        <v>228</v>
      </c>
      <c r="G215" s="146" t="s">
        <v>228</v>
      </c>
      <c r="H215" s="146" t="s">
        <v>228</v>
      </c>
      <c r="I215" s="146" t="s">
        <v>228</v>
      </c>
      <c r="J215" s="146" t="s">
        <v>708</v>
      </c>
      <c r="K215" s="146" t="s">
        <v>235</v>
      </c>
    </row>
    <row r="216" spans="1:11" x14ac:dyDescent="0.25">
      <c r="A216" s="146" t="s">
        <v>709</v>
      </c>
      <c r="B216" s="146" t="s">
        <v>710</v>
      </c>
      <c r="C216" s="146" t="s">
        <v>328</v>
      </c>
      <c r="D216" s="146" t="s">
        <v>329</v>
      </c>
      <c r="E216" s="146" t="s">
        <v>231</v>
      </c>
      <c r="F216" s="146" t="s">
        <v>228</v>
      </c>
      <c r="G216" s="146" t="s">
        <v>228</v>
      </c>
      <c r="H216" s="146" t="s">
        <v>228</v>
      </c>
      <c r="I216" s="146" t="s">
        <v>228</v>
      </c>
      <c r="J216" s="146" t="s">
        <v>523</v>
      </c>
      <c r="K216" s="146" t="s">
        <v>341</v>
      </c>
    </row>
    <row r="217" spans="1:11" x14ac:dyDescent="0.25">
      <c r="A217" s="146" t="s">
        <v>711</v>
      </c>
      <c r="B217" s="146" t="s">
        <v>712</v>
      </c>
      <c r="C217" s="146" t="s">
        <v>328</v>
      </c>
      <c r="D217" s="146" t="s">
        <v>329</v>
      </c>
      <c r="E217" s="146" t="s">
        <v>231</v>
      </c>
      <c r="F217" s="146" t="s">
        <v>228</v>
      </c>
      <c r="G217" s="146" t="s">
        <v>228</v>
      </c>
      <c r="H217" s="146" t="s">
        <v>228</v>
      </c>
      <c r="I217" s="146" t="s">
        <v>228</v>
      </c>
      <c r="J217" s="146" t="s">
        <v>523</v>
      </c>
      <c r="K217" s="146" t="s">
        <v>235</v>
      </c>
    </row>
    <row r="218" spans="1:11" x14ac:dyDescent="0.25">
      <c r="A218" s="146" t="s">
        <v>713</v>
      </c>
      <c r="B218" s="146" t="s">
        <v>714</v>
      </c>
      <c r="C218" s="146" t="s">
        <v>323</v>
      </c>
      <c r="D218" s="146" t="s">
        <v>324</v>
      </c>
      <c r="E218" s="146" t="s">
        <v>231</v>
      </c>
      <c r="F218" s="146" t="s">
        <v>228</v>
      </c>
      <c r="G218" s="146" t="s">
        <v>228</v>
      </c>
      <c r="H218" s="146" t="s">
        <v>228</v>
      </c>
      <c r="I218" s="146" t="s">
        <v>228</v>
      </c>
      <c r="J218" s="146" t="s">
        <v>634</v>
      </c>
      <c r="K218" s="146" t="s">
        <v>235</v>
      </c>
    </row>
    <row r="219" spans="1:11" x14ac:dyDescent="0.25">
      <c r="A219" s="146" t="s">
        <v>715</v>
      </c>
      <c r="B219" s="146" t="s">
        <v>716</v>
      </c>
      <c r="C219" s="146" t="s">
        <v>323</v>
      </c>
      <c r="D219" s="146" t="s">
        <v>324</v>
      </c>
      <c r="E219" s="146" t="s">
        <v>231</v>
      </c>
      <c r="F219" s="146" t="s">
        <v>228</v>
      </c>
      <c r="G219" s="146" t="s">
        <v>228</v>
      </c>
      <c r="H219" s="146" t="s">
        <v>228</v>
      </c>
      <c r="I219" s="146" t="s">
        <v>228</v>
      </c>
      <c r="J219" s="146" t="s">
        <v>634</v>
      </c>
      <c r="K219" s="146" t="s">
        <v>235</v>
      </c>
    </row>
    <row r="220" spans="1:11" x14ac:dyDescent="0.25">
      <c r="A220" s="146" t="s">
        <v>717</v>
      </c>
      <c r="B220" s="146" t="s">
        <v>718</v>
      </c>
      <c r="C220" s="146" t="s">
        <v>323</v>
      </c>
      <c r="D220" s="146" t="s">
        <v>324</v>
      </c>
      <c r="E220" s="146" t="s">
        <v>231</v>
      </c>
      <c r="F220" s="146" t="s">
        <v>228</v>
      </c>
      <c r="G220" s="146" t="s">
        <v>228</v>
      </c>
      <c r="H220" s="146" t="s">
        <v>228</v>
      </c>
      <c r="I220" s="146" t="s">
        <v>228</v>
      </c>
      <c r="J220" s="146" t="s">
        <v>634</v>
      </c>
      <c r="K220" s="146" t="s">
        <v>235</v>
      </c>
    </row>
    <row r="221" spans="1:11" x14ac:dyDescent="0.25">
      <c r="A221" s="146" t="s">
        <v>719</v>
      </c>
      <c r="B221" s="146" t="s">
        <v>720</v>
      </c>
      <c r="C221" s="146" t="s">
        <v>338</v>
      </c>
      <c r="D221" s="146" t="s">
        <v>339</v>
      </c>
      <c r="E221" s="146" t="s">
        <v>231</v>
      </c>
      <c r="F221" s="146" t="s">
        <v>228</v>
      </c>
      <c r="G221" s="146" t="s">
        <v>228</v>
      </c>
      <c r="H221" s="146" t="s">
        <v>228</v>
      </c>
      <c r="I221" s="146" t="s">
        <v>228</v>
      </c>
      <c r="J221" s="146" t="s">
        <v>422</v>
      </c>
      <c r="K221" s="146" t="s">
        <v>235</v>
      </c>
    </row>
    <row r="222" spans="1:11" x14ac:dyDescent="0.25">
      <c r="A222" s="146" t="s">
        <v>721</v>
      </c>
      <c r="B222" s="146" t="s">
        <v>722</v>
      </c>
      <c r="C222" s="146" t="s">
        <v>338</v>
      </c>
      <c r="D222" s="146" t="s">
        <v>339</v>
      </c>
      <c r="E222" s="146" t="s">
        <v>231</v>
      </c>
      <c r="F222" s="146" t="s">
        <v>228</v>
      </c>
      <c r="G222" s="146" t="s">
        <v>228</v>
      </c>
      <c r="H222" s="146" t="s">
        <v>228</v>
      </c>
      <c r="I222" s="146" t="s">
        <v>228</v>
      </c>
      <c r="J222" s="146" t="s">
        <v>723</v>
      </c>
      <c r="K222" s="146" t="s">
        <v>235</v>
      </c>
    </row>
    <row r="223" spans="1:11" x14ac:dyDescent="0.25">
      <c r="A223" s="146" t="s">
        <v>724</v>
      </c>
      <c r="B223" s="146" t="s">
        <v>725</v>
      </c>
      <c r="C223" s="146" t="s">
        <v>338</v>
      </c>
      <c r="D223" s="146" t="s">
        <v>339</v>
      </c>
      <c r="E223" s="146" t="s">
        <v>231</v>
      </c>
      <c r="F223" s="146" t="s">
        <v>228</v>
      </c>
      <c r="G223" s="146" t="s">
        <v>228</v>
      </c>
      <c r="H223" s="146" t="s">
        <v>228</v>
      </c>
      <c r="I223" s="146" t="s">
        <v>228</v>
      </c>
      <c r="J223" s="146" t="s">
        <v>726</v>
      </c>
      <c r="K223" s="146" t="s">
        <v>235</v>
      </c>
    </row>
    <row r="224" spans="1:11" x14ac:dyDescent="0.25">
      <c r="A224" s="146" t="s">
        <v>727</v>
      </c>
      <c r="B224" s="146" t="s">
        <v>728</v>
      </c>
      <c r="C224" s="146" t="s">
        <v>338</v>
      </c>
      <c r="D224" s="146" t="s">
        <v>339</v>
      </c>
      <c r="E224" s="146" t="s">
        <v>231</v>
      </c>
      <c r="F224" s="146" t="s">
        <v>228</v>
      </c>
      <c r="G224" s="146" t="s">
        <v>228</v>
      </c>
      <c r="H224" s="146" t="s">
        <v>228</v>
      </c>
      <c r="I224" s="146" t="s">
        <v>228</v>
      </c>
      <c r="J224" s="146" t="s">
        <v>240</v>
      </c>
      <c r="K224" s="146" t="s">
        <v>341</v>
      </c>
    </row>
    <row r="225" spans="1:11" x14ac:dyDescent="0.25">
      <c r="A225" s="146" t="s">
        <v>729</v>
      </c>
      <c r="B225" s="146" t="s">
        <v>730</v>
      </c>
      <c r="C225" s="146" t="s">
        <v>338</v>
      </c>
      <c r="D225" s="146" t="s">
        <v>339</v>
      </c>
      <c r="E225" s="146" t="s">
        <v>231</v>
      </c>
      <c r="F225" s="146" t="s">
        <v>228</v>
      </c>
      <c r="G225" s="146" t="s">
        <v>228</v>
      </c>
      <c r="H225" s="146" t="s">
        <v>228</v>
      </c>
      <c r="I225" s="146" t="s">
        <v>228</v>
      </c>
      <c r="J225" s="146" t="s">
        <v>425</v>
      </c>
      <c r="K225" s="146" t="s">
        <v>341</v>
      </c>
    </row>
    <row r="226" spans="1:11" x14ac:dyDescent="0.25">
      <c r="A226" s="146" t="s">
        <v>731</v>
      </c>
      <c r="B226" s="146" t="s">
        <v>732</v>
      </c>
      <c r="C226" s="146" t="s">
        <v>338</v>
      </c>
      <c r="D226" s="146" t="s">
        <v>339</v>
      </c>
      <c r="E226" s="146" t="s">
        <v>231</v>
      </c>
      <c r="F226" s="146" t="s">
        <v>228</v>
      </c>
      <c r="G226" s="146" t="s">
        <v>228</v>
      </c>
      <c r="H226" s="146" t="s">
        <v>228</v>
      </c>
      <c r="I226" s="146" t="s">
        <v>228</v>
      </c>
      <c r="J226" s="146" t="s">
        <v>243</v>
      </c>
      <c r="K226" s="146" t="s">
        <v>235</v>
      </c>
    </row>
    <row r="227" spans="1:11" x14ac:dyDescent="0.25">
      <c r="A227" s="146" t="s">
        <v>733</v>
      </c>
      <c r="B227" s="146" t="s">
        <v>734</v>
      </c>
      <c r="C227" s="146" t="s">
        <v>338</v>
      </c>
      <c r="D227" s="146" t="s">
        <v>339</v>
      </c>
      <c r="E227" s="146" t="s">
        <v>231</v>
      </c>
      <c r="F227" s="146" t="s">
        <v>228</v>
      </c>
      <c r="G227" s="146" t="s">
        <v>228</v>
      </c>
      <c r="H227" s="146" t="s">
        <v>228</v>
      </c>
      <c r="I227" s="146" t="s">
        <v>228</v>
      </c>
      <c r="J227" s="146" t="s">
        <v>243</v>
      </c>
      <c r="K227" s="146" t="s">
        <v>235</v>
      </c>
    </row>
    <row r="228" spans="1:11" x14ac:dyDescent="0.25">
      <c r="A228" s="146" t="s">
        <v>735</v>
      </c>
      <c r="B228" s="146" t="s">
        <v>736</v>
      </c>
      <c r="C228" s="146" t="s">
        <v>338</v>
      </c>
      <c r="D228" s="146" t="s">
        <v>339</v>
      </c>
      <c r="E228" s="146" t="s">
        <v>231</v>
      </c>
      <c r="F228" s="146" t="s">
        <v>228</v>
      </c>
      <c r="G228" s="146" t="s">
        <v>228</v>
      </c>
      <c r="H228" s="146" t="s">
        <v>228</v>
      </c>
      <c r="I228" s="146" t="s">
        <v>228</v>
      </c>
      <c r="J228" s="146" t="s">
        <v>240</v>
      </c>
      <c r="K228" s="146" t="s">
        <v>235</v>
      </c>
    </row>
    <row r="229" spans="1:11" x14ac:dyDescent="0.25">
      <c r="A229" s="146" t="s">
        <v>737</v>
      </c>
      <c r="B229" s="146" t="s">
        <v>738</v>
      </c>
      <c r="C229" s="146" t="s">
        <v>338</v>
      </c>
      <c r="D229" s="146" t="s">
        <v>339</v>
      </c>
      <c r="E229" s="146" t="s">
        <v>231</v>
      </c>
      <c r="F229" s="146" t="s">
        <v>228</v>
      </c>
      <c r="G229" s="146" t="s">
        <v>228</v>
      </c>
      <c r="H229" s="146" t="s">
        <v>228</v>
      </c>
      <c r="I229" s="146" t="s">
        <v>228</v>
      </c>
      <c r="J229" s="146" t="s">
        <v>704</v>
      </c>
      <c r="K229" s="146" t="s">
        <v>235</v>
      </c>
    </row>
    <row r="230" spans="1:11" x14ac:dyDescent="0.25">
      <c r="A230" s="146" t="s">
        <v>739</v>
      </c>
      <c r="B230" s="146" t="s">
        <v>740</v>
      </c>
      <c r="C230" s="146" t="s">
        <v>338</v>
      </c>
      <c r="D230" s="146" t="s">
        <v>339</v>
      </c>
      <c r="E230" s="146" t="s">
        <v>231</v>
      </c>
      <c r="F230" s="146" t="s">
        <v>228</v>
      </c>
      <c r="G230" s="146" t="s">
        <v>228</v>
      </c>
      <c r="H230" s="146" t="s">
        <v>228</v>
      </c>
      <c r="I230" s="146" t="s">
        <v>228</v>
      </c>
      <c r="J230" s="146" t="s">
        <v>741</v>
      </c>
      <c r="K230" s="146" t="s">
        <v>235</v>
      </c>
    </row>
    <row r="231" spans="1:11" x14ac:dyDescent="0.25">
      <c r="A231" s="146" t="s">
        <v>742</v>
      </c>
      <c r="B231" s="146" t="s">
        <v>743</v>
      </c>
      <c r="C231" s="146" t="s">
        <v>338</v>
      </c>
      <c r="D231" s="146" t="s">
        <v>339</v>
      </c>
      <c r="E231" s="146" t="s">
        <v>231</v>
      </c>
      <c r="F231" s="146" t="s">
        <v>228</v>
      </c>
      <c r="G231" s="146" t="s">
        <v>228</v>
      </c>
      <c r="H231" s="146" t="s">
        <v>228</v>
      </c>
      <c r="I231" s="146" t="s">
        <v>228</v>
      </c>
      <c r="J231" s="146" t="s">
        <v>240</v>
      </c>
      <c r="K231" s="146" t="s">
        <v>235</v>
      </c>
    </row>
    <row r="232" spans="1:11" x14ac:dyDescent="0.25">
      <c r="A232" s="146" t="s">
        <v>744</v>
      </c>
      <c r="B232" s="146" t="s">
        <v>745</v>
      </c>
      <c r="C232" s="146" t="s">
        <v>338</v>
      </c>
      <c r="D232" s="146" t="s">
        <v>339</v>
      </c>
      <c r="E232" s="146" t="s">
        <v>231</v>
      </c>
      <c r="F232" s="146" t="s">
        <v>228</v>
      </c>
      <c r="G232" s="146" t="s">
        <v>228</v>
      </c>
      <c r="H232" s="146" t="s">
        <v>228</v>
      </c>
      <c r="I232" s="146" t="s">
        <v>228</v>
      </c>
      <c r="J232" s="146" t="s">
        <v>243</v>
      </c>
      <c r="K232" s="146" t="s">
        <v>263</v>
      </c>
    </row>
    <row r="233" spans="1:11" x14ac:dyDescent="0.25">
      <c r="A233" s="146" t="s">
        <v>746</v>
      </c>
      <c r="B233" s="146" t="s">
        <v>747</v>
      </c>
      <c r="C233" s="146" t="s">
        <v>338</v>
      </c>
      <c r="D233" s="146" t="s">
        <v>339</v>
      </c>
      <c r="E233" s="146" t="s">
        <v>231</v>
      </c>
      <c r="F233" s="146" t="s">
        <v>228</v>
      </c>
      <c r="G233" s="146" t="s">
        <v>228</v>
      </c>
      <c r="H233" s="146" t="s">
        <v>228</v>
      </c>
      <c r="I233" s="146" t="s">
        <v>228</v>
      </c>
      <c r="J233" s="146" t="s">
        <v>243</v>
      </c>
      <c r="K233" s="146" t="s">
        <v>263</v>
      </c>
    </row>
    <row r="234" spans="1:11" x14ac:dyDescent="0.25">
      <c r="A234" s="146" t="s">
        <v>748</v>
      </c>
      <c r="B234" s="146" t="s">
        <v>749</v>
      </c>
      <c r="C234" s="146" t="s">
        <v>338</v>
      </c>
      <c r="D234" s="146" t="s">
        <v>339</v>
      </c>
      <c r="E234" s="146" t="s">
        <v>231</v>
      </c>
      <c r="F234" s="146" t="s">
        <v>228</v>
      </c>
      <c r="G234" s="146" t="s">
        <v>228</v>
      </c>
      <c r="H234" s="146" t="s">
        <v>228</v>
      </c>
      <c r="I234" s="146" t="s">
        <v>228</v>
      </c>
      <c r="J234" s="146" t="s">
        <v>425</v>
      </c>
      <c r="K234" s="146" t="s">
        <v>341</v>
      </c>
    </row>
    <row r="235" spans="1:11" x14ac:dyDescent="0.25">
      <c r="A235" s="146" t="s">
        <v>750</v>
      </c>
      <c r="B235" s="146" t="s">
        <v>751</v>
      </c>
      <c r="C235" s="146" t="s">
        <v>338</v>
      </c>
      <c r="D235" s="146" t="s">
        <v>339</v>
      </c>
      <c r="E235" s="146" t="s">
        <v>231</v>
      </c>
      <c r="F235" s="146" t="s">
        <v>228</v>
      </c>
      <c r="G235" s="146" t="s">
        <v>228</v>
      </c>
      <c r="H235" s="146" t="s">
        <v>228</v>
      </c>
      <c r="I235" s="146" t="s">
        <v>228</v>
      </c>
      <c r="J235" s="146" t="s">
        <v>492</v>
      </c>
      <c r="K235" s="146" t="s">
        <v>235</v>
      </c>
    </row>
    <row r="236" spans="1:11" x14ac:dyDescent="0.25">
      <c r="A236" s="146" t="s">
        <v>752</v>
      </c>
      <c r="B236" s="146" t="s">
        <v>753</v>
      </c>
      <c r="C236" s="146" t="s">
        <v>338</v>
      </c>
      <c r="D236" s="146" t="s">
        <v>339</v>
      </c>
      <c r="E236" s="146" t="s">
        <v>231</v>
      </c>
      <c r="F236" s="146" t="s">
        <v>228</v>
      </c>
      <c r="G236" s="146" t="s">
        <v>228</v>
      </c>
      <c r="H236" s="146" t="s">
        <v>228</v>
      </c>
      <c r="I236" s="146" t="s">
        <v>228</v>
      </c>
      <c r="J236" s="146" t="s">
        <v>240</v>
      </c>
      <c r="K236" s="146" t="s">
        <v>235</v>
      </c>
    </row>
    <row r="237" spans="1:11" x14ac:dyDescent="0.25">
      <c r="A237" s="146" t="s">
        <v>754</v>
      </c>
      <c r="B237" s="146" t="s">
        <v>755</v>
      </c>
      <c r="C237" s="146" t="s">
        <v>338</v>
      </c>
      <c r="D237" s="146" t="s">
        <v>339</v>
      </c>
      <c r="E237" s="146" t="s">
        <v>231</v>
      </c>
      <c r="F237" s="146" t="s">
        <v>228</v>
      </c>
      <c r="G237" s="146" t="s">
        <v>228</v>
      </c>
      <c r="H237" s="146" t="s">
        <v>228</v>
      </c>
      <c r="I237" s="146" t="s">
        <v>228</v>
      </c>
      <c r="J237" s="146" t="s">
        <v>756</v>
      </c>
      <c r="K237" s="146" t="s">
        <v>235</v>
      </c>
    </row>
    <row r="238" spans="1:11" x14ac:dyDescent="0.25">
      <c r="A238" s="146" t="s">
        <v>757</v>
      </c>
      <c r="B238" s="146" t="s">
        <v>758</v>
      </c>
      <c r="C238" s="146" t="s">
        <v>338</v>
      </c>
      <c r="D238" s="146" t="s">
        <v>339</v>
      </c>
      <c r="E238" s="146" t="s">
        <v>231</v>
      </c>
      <c r="F238" s="146" t="s">
        <v>228</v>
      </c>
      <c r="G238" s="146" t="s">
        <v>228</v>
      </c>
      <c r="H238" s="146" t="s">
        <v>228</v>
      </c>
      <c r="I238" s="146" t="s">
        <v>228</v>
      </c>
      <c r="J238" s="146" t="s">
        <v>240</v>
      </c>
      <c r="K238" s="146" t="s">
        <v>235</v>
      </c>
    </row>
    <row r="239" spans="1:11" x14ac:dyDescent="0.25">
      <c r="A239" s="146" t="s">
        <v>759</v>
      </c>
      <c r="B239" s="146" t="s">
        <v>760</v>
      </c>
      <c r="C239" s="146" t="s">
        <v>338</v>
      </c>
      <c r="D239" s="146" t="s">
        <v>339</v>
      </c>
      <c r="E239" s="146" t="s">
        <v>231</v>
      </c>
      <c r="F239" s="146" t="s">
        <v>228</v>
      </c>
      <c r="G239" s="146" t="s">
        <v>228</v>
      </c>
      <c r="H239" s="146" t="s">
        <v>228</v>
      </c>
      <c r="I239" s="146" t="s">
        <v>228</v>
      </c>
      <c r="J239" s="146" t="s">
        <v>425</v>
      </c>
      <c r="K239" s="146" t="s">
        <v>341</v>
      </c>
    </row>
    <row r="240" spans="1:11" x14ac:dyDescent="0.25">
      <c r="A240" s="146" t="s">
        <v>761</v>
      </c>
      <c r="B240" s="146" t="s">
        <v>762</v>
      </c>
      <c r="C240" s="146" t="s">
        <v>338</v>
      </c>
      <c r="D240" s="146" t="s">
        <v>339</v>
      </c>
      <c r="E240" s="146" t="s">
        <v>231</v>
      </c>
      <c r="F240" s="146" t="s">
        <v>228</v>
      </c>
      <c r="G240" s="146" t="s">
        <v>228</v>
      </c>
      <c r="H240" s="146" t="s">
        <v>228</v>
      </c>
      <c r="I240" s="146" t="s">
        <v>228</v>
      </c>
      <c r="J240" s="146" t="s">
        <v>240</v>
      </c>
      <c r="K240" s="146" t="s">
        <v>341</v>
      </c>
    </row>
    <row r="241" spans="1:11" x14ac:dyDescent="0.25">
      <c r="A241" s="146" t="s">
        <v>763</v>
      </c>
      <c r="B241" s="146" t="s">
        <v>764</v>
      </c>
      <c r="C241" s="146" t="s">
        <v>338</v>
      </c>
      <c r="D241" s="146" t="s">
        <v>339</v>
      </c>
      <c r="E241" s="146" t="s">
        <v>231</v>
      </c>
      <c r="F241" s="146" t="s">
        <v>228</v>
      </c>
      <c r="G241" s="146" t="s">
        <v>228</v>
      </c>
      <c r="H241" s="146" t="s">
        <v>228</v>
      </c>
      <c r="I241" s="146" t="s">
        <v>228</v>
      </c>
      <c r="J241" s="146" t="s">
        <v>425</v>
      </c>
      <c r="K241" s="146" t="s">
        <v>341</v>
      </c>
    </row>
    <row r="242" spans="1:11" x14ac:dyDescent="0.25">
      <c r="A242" s="146" t="s">
        <v>765</v>
      </c>
      <c r="B242" s="146" t="s">
        <v>766</v>
      </c>
      <c r="C242" s="146" t="s">
        <v>338</v>
      </c>
      <c r="D242" s="146" t="s">
        <v>339</v>
      </c>
      <c r="E242" s="146" t="s">
        <v>231</v>
      </c>
      <c r="F242" s="146" t="s">
        <v>228</v>
      </c>
      <c r="G242" s="146" t="s">
        <v>228</v>
      </c>
      <c r="H242" s="146" t="s">
        <v>228</v>
      </c>
      <c r="I242" s="146" t="s">
        <v>228</v>
      </c>
      <c r="J242" s="146" t="s">
        <v>243</v>
      </c>
      <c r="K242" s="146" t="s">
        <v>341</v>
      </c>
    </row>
    <row r="243" spans="1:11" x14ac:dyDescent="0.25">
      <c r="A243" s="146" t="s">
        <v>767</v>
      </c>
      <c r="B243" s="146" t="s">
        <v>768</v>
      </c>
      <c r="C243" s="146" t="s">
        <v>338</v>
      </c>
      <c r="D243" s="146" t="s">
        <v>339</v>
      </c>
      <c r="E243" s="146" t="s">
        <v>231</v>
      </c>
      <c r="F243" s="146" t="s">
        <v>228</v>
      </c>
      <c r="G243" s="146" t="s">
        <v>228</v>
      </c>
      <c r="H243" s="146" t="s">
        <v>228</v>
      </c>
      <c r="I243" s="146" t="s">
        <v>228</v>
      </c>
      <c r="J243" s="146" t="s">
        <v>234</v>
      </c>
      <c r="K243" s="146" t="s">
        <v>235</v>
      </c>
    </row>
    <row r="244" spans="1:11" x14ac:dyDescent="0.25">
      <c r="A244" s="146" t="s">
        <v>769</v>
      </c>
      <c r="B244" s="146" t="s">
        <v>770</v>
      </c>
      <c r="C244" s="146" t="s">
        <v>338</v>
      </c>
      <c r="D244" s="146" t="s">
        <v>339</v>
      </c>
      <c r="E244" s="146" t="s">
        <v>231</v>
      </c>
      <c r="F244" s="146" t="s">
        <v>228</v>
      </c>
      <c r="G244" s="146" t="s">
        <v>228</v>
      </c>
      <c r="H244" s="146" t="s">
        <v>228</v>
      </c>
      <c r="I244" s="146" t="s">
        <v>228</v>
      </c>
      <c r="J244" s="146" t="s">
        <v>234</v>
      </c>
      <c r="K244" s="146" t="s">
        <v>235</v>
      </c>
    </row>
    <row r="245" spans="1:11" x14ac:dyDescent="0.25">
      <c r="A245" s="146" t="s">
        <v>771</v>
      </c>
      <c r="B245" s="146" t="s">
        <v>772</v>
      </c>
      <c r="C245" s="146" t="s">
        <v>338</v>
      </c>
      <c r="D245" s="146" t="s">
        <v>339</v>
      </c>
      <c r="E245" s="146" t="s">
        <v>231</v>
      </c>
      <c r="F245" s="146" t="s">
        <v>228</v>
      </c>
      <c r="G245" s="146" t="s">
        <v>228</v>
      </c>
      <c r="H245" s="146" t="s">
        <v>228</v>
      </c>
      <c r="I245" s="146" t="s">
        <v>228</v>
      </c>
      <c r="J245" s="146" t="s">
        <v>425</v>
      </c>
      <c r="K245" s="146" t="s">
        <v>341</v>
      </c>
    </row>
    <row r="246" spans="1:11" x14ac:dyDescent="0.25">
      <c r="A246" s="146" t="s">
        <v>773</v>
      </c>
      <c r="B246" s="146" t="s">
        <v>774</v>
      </c>
      <c r="C246" s="146" t="s">
        <v>338</v>
      </c>
      <c r="D246" s="146" t="s">
        <v>339</v>
      </c>
      <c r="E246" s="146" t="s">
        <v>231</v>
      </c>
      <c r="F246" s="146" t="s">
        <v>228</v>
      </c>
      <c r="G246" s="146" t="s">
        <v>228</v>
      </c>
      <c r="H246" s="146" t="s">
        <v>228</v>
      </c>
      <c r="I246" s="146" t="s">
        <v>228</v>
      </c>
      <c r="J246" s="146" t="s">
        <v>775</v>
      </c>
      <c r="K246" s="146" t="s">
        <v>235</v>
      </c>
    </row>
    <row r="247" spans="1:11" x14ac:dyDescent="0.25">
      <c r="A247" s="146" t="s">
        <v>776</v>
      </c>
      <c r="B247" s="146" t="s">
        <v>777</v>
      </c>
      <c r="C247" s="146" t="s">
        <v>338</v>
      </c>
      <c r="D247" s="146" t="s">
        <v>339</v>
      </c>
      <c r="E247" s="146" t="s">
        <v>231</v>
      </c>
      <c r="F247" s="146" t="s">
        <v>228</v>
      </c>
      <c r="G247" s="146" t="s">
        <v>228</v>
      </c>
      <c r="H247" s="146" t="s">
        <v>228</v>
      </c>
      <c r="I247" s="146" t="s">
        <v>228</v>
      </c>
      <c r="J247" s="146" t="s">
        <v>270</v>
      </c>
      <c r="K247" s="146" t="s">
        <v>235</v>
      </c>
    </row>
    <row r="248" spans="1:11" x14ac:dyDescent="0.25">
      <c r="A248" s="146" t="s">
        <v>778</v>
      </c>
      <c r="B248" s="146" t="s">
        <v>779</v>
      </c>
      <c r="C248" s="146" t="s">
        <v>338</v>
      </c>
      <c r="D248" s="146" t="s">
        <v>339</v>
      </c>
      <c r="E248" s="146" t="s">
        <v>231</v>
      </c>
      <c r="F248" s="146" t="s">
        <v>228</v>
      </c>
      <c r="G248" s="146" t="s">
        <v>228</v>
      </c>
      <c r="H248" s="146" t="s">
        <v>228</v>
      </c>
      <c r="I248" s="146" t="s">
        <v>228</v>
      </c>
      <c r="J248" s="146" t="s">
        <v>240</v>
      </c>
      <c r="K248" s="146" t="s">
        <v>235</v>
      </c>
    </row>
    <row r="249" spans="1:11" x14ac:dyDescent="0.25">
      <c r="A249" s="146" t="s">
        <v>780</v>
      </c>
      <c r="B249" s="146" t="s">
        <v>781</v>
      </c>
      <c r="C249" s="146" t="s">
        <v>338</v>
      </c>
      <c r="D249" s="146" t="s">
        <v>339</v>
      </c>
      <c r="E249" s="146" t="s">
        <v>231</v>
      </c>
      <c r="F249" s="146" t="s">
        <v>228</v>
      </c>
      <c r="G249" s="146" t="s">
        <v>228</v>
      </c>
      <c r="H249" s="146" t="s">
        <v>228</v>
      </c>
      <c r="I249" s="146" t="s">
        <v>228</v>
      </c>
      <c r="J249" s="146" t="s">
        <v>240</v>
      </c>
      <c r="K249" s="146" t="s">
        <v>235</v>
      </c>
    </row>
    <row r="250" spans="1:11" x14ac:dyDescent="0.25">
      <c r="A250" s="146" t="s">
        <v>782</v>
      </c>
      <c r="B250" s="146" t="s">
        <v>783</v>
      </c>
      <c r="C250" s="146" t="s">
        <v>338</v>
      </c>
      <c r="D250" s="146" t="s">
        <v>339</v>
      </c>
      <c r="E250" s="146" t="s">
        <v>231</v>
      </c>
      <c r="F250" s="146" t="s">
        <v>228</v>
      </c>
      <c r="G250" s="146" t="s">
        <v>228</v>
      </c>
      <c r="H250" s="146" t="s">
        <v>228</v>
      </c>
      <c r="I250" s="146" t="s">
        <v>228</v>
      </c>
      <c r="J250" s="146" t="s">
        <v>240</v>
      </c>
      <c r="K250" s="146" t="s">
        <v>341</v>
      </c>
    </row>
    <row r="251" spans="1:11" x14ac:dyDescent="0.25">
      <c r="A251" s="146" t="s">
        <v>784</v>
      </c>
      <c r="B251" s="146" t="s">
        <v>785</v>
      </c>
      <c r="C251" s="146" t="s">
        <v>338</v>
      </c>
      <c r="D251" s="146" t="s">
        <v>339</v>
      </c>
      <c r="E251" s="146" t="s">
        <v>231</v>
      </c>
      <c r="F251" s="146" t="s">
        <v>228</v>
      </c>
      <c r="G251" s="146" t="s">
        <v>228</v>
      </c>
      <c r="H251" s="146" t="s">
        <v>228</v>
      </c>
      <c r="I251" s="146" t="s">
        <v>228</v>
      </c>
      <c r="J251" s="146" t="s">
        <v>350</v>
      </c>
      <c r="K251" s="146" t="s">
        <v>235</v>
      </c>
    </row>
    <row r="252" spans="1:11" x14ac:dyDescent="0.25">
      <c r="A252" s="146" t="s">
        <v>786</v>
      </c>
      <c r="B252" s="146" t="s">
        <v>787</v>
      </c>
      <c r="C252" s="146" t="s">
        <v>338</v>
      </c>
      <c r="D252" s="146" t="s">
        <v>339</v>
      </c>
      <c r="E252" s="146" t="s">
        <v>231</v>
      </c>
      <c r="F252" s="146" t="s">
        <v>228</v>
      </c>
      <c r="G252" s="146" t="s">
        <v>228</v>
      </c>
      <c r="H252" s="146" t="s">
        <v>228</v>
      </c>
      <c r="I252" s="146" t="s">
        <v>228</v>
      </c>
      <c r="J252" s="146" t="s">
        <v>408</v>
      </c>
      <c r="K252" s="146" t="s">
        <v>235</v>
      </c>
    </row>
    <row r="253" spans="1:11" x14ac:dyDescent="0.25">
      <c r="A253" s="146" t="s">
        <v>788</v>
      </c>
      <c r="B253" s="146" t="s">
        <v>789</v>
      </c>
      <c r="C253" s="146" t="s">
        <v>338</v>
      </c>
      <c r="D253" s="146" t="s">
        <v>339</v>
      </c>
      <c r="E253" s="146" t="s">
        <v>231</v>
      </c>
      <c r="F253" s="146" t="s">
        <v>228</v>
      </c>
      <c r="G253" s="146" t="s">
        <v>228</v>
      </c>
      <c r="H253" s="146" t="s">
        <v>228</v>
      </c>
      <c r="I253" s="146" t="s">
        <v>228</v>
      </c>
      <c r="J253" s="146" t="s">
        <v>790</v>
      </c>
      <c r="K253" s="146" t="s">
        <v>235</v>
      </c>
    </row>
    <row r="254" spans="1:11" x14ac:dyDescent="0.25">
      <c r="A254" s="146" t="s">
        <v>791</v>
      </c>
      <c r="B254" s="146" t="s">
        <v>792</v>
      </c>
      <c r="C254" s="146" t="s">
        <v>338</v>
      </c>
      <c r="D254" s="146" t="s">
        <v>339</v>
      </c>
      <c r="E254" s="146" t="s">
        <v>231</v>
      </c>
      <c r="F254" s="146" t="s">
        <v>228</v>
      </c>
      <c r="G254" s="146" t="s">
        <v>228</v>
      </c>
      <c r="H254" s="146" t="s">
        <v>228</v>
      </c>
      <c r="I254" s="146" t="s">
        <v>228</v>
      </c>
      <c r="J254" s="146" t="s">
        <v>793</v>
      </c>
      <c r="K254" s="146" t="s">
        <v>235</v>
      </c>
    </row>
    <row r="255" spans="1:11" x14ac:dyDescent="0.25">
      <c r="A255" s="146" t="s">
        <v>794</v>
      </c>
      <c r="B255" s="146" t="s">
        <v>795</v>
      </c>
      <c r="C255" s="146" t="s">
        <v>338</v>
      </c>
      <c r="D255" s="146" t="s">
        <v>339</v>
      </c>
      <c r="E255" s="146" t="s">
        <v>231</v>
      </c>
      <c r="F255" s="146" t="s">
        <v>228</v>
      </c>
      <c r="G255" s="146" t="s">
        <v>228</v>
      </c>
      <c r="H255" s="146" t="s">
        <v>228</v>
      </c>
      <c r="I255" s="146" t="s">
        <v>228</v>
      </c>
      <c r="J255" s="146" t="s">
        <v>796</v>
      </c>
      <c r="K255" s="146" t="s">
        <v>235</v>
      </c>
    </row>
    <row r="256" spans="1:11" x14ac:dyDescent="0.25">
      <c r="A256" s="146" t="s">
        <v>797</v>
      </c>
      <c r="B256" s="146" t="s">
        <v>798</v>
      </c>
      <c r="C256" s="146" t="s">
        <v>338</v>
      </c>
      <c r="D256" s="146" t="s">
        <v>339</v>
      </c>
      <c r="E256" s="146" t="s">
        <v>231</v>
      </c>
      <c r="F256" s="146" t="s">
        <v>228</v>
      </c>
      <c r="G256" s="146" t="s">
        <v>228</v>
      </c>
      <c r="H256" s="146" t="s">
        <v>228</v>
      </c>
      <c r="I256" s="146" t="s">
        <v>228</v>
      </c>
      <c r="J256" s="146" t="s">
        <v>389</v>
      </c>
      <c r="K256" s="146" t="s">
        <v>235</v>
      </c>
    </row>
    <row r="257" spans="1:11" x14ac:dyDescent="0.25">
      <c r="A257" s="146" t="s">
        <v>799</v>
      </c>
      <c r="B257" s="146" t="s">
        <v>800</v>
      </c>
      <c r="C257" s="146" t="s">
        <v>338</v>
      </c>
      <c r="D257" s="146" t="s">
        <v>339</v>
      </c>
      <c r="E257" s="146" t="s">
        <v>231</v>
      </c>
      <c r="F257" s="146" t="s">
        <v>228</v>
      </c>
      <c r="G257" s="146" t="s">
        <v>228</v>
      </c>
      <c r="H257" s="146" t="s">
        <v>228</v>
      </c>
      <c r="I257" s="146" t="s">
        <v>228</v>
      </c>
      <c r="J257" s="146" t="s">
        <v>240</v>
      </c>
      <c r="K257" s="146" t="s">
        <v>235</v>
      </c>
    </row>
    <row r="258" spans="1:11" x14ac:dyDescent="0.25">
      <c r="A258" s="146" t="s">
        <v>801</v>
      </c>
      <c r="B258" s="146" t="s">
        <v>802</v>
      </c>
      <c r="C258" s="146" t="s">
        <v>338</v>
      </c>
      <c r="D258" s="146" t="s">
        <v>339</v>
      </c>
      <c r="E258" s="146" t="s">
        <v>231</v>
      </c>
      <c r="F258" s="146" t="s">
        <v>228</v>
      </c>
      <c r="G258" s="146" t="s">
        <v>228</v>
      </c>
      <c r="H258" s="146" t="s">
        <v>228</v>
      </c>
      <c r="I258" s="146" t="s">
        <v>228</v>
      </c>
      <c r="J258" s="146" t="s">
        <v>234</v>
      </c>
      <c r="K258" s="146" t="s">
        <v>235</v>
      </c>
    </row>
    <row r="259" spans="1:11" x14ac:dyDescent="0.25">
      <c r="A259" s="146" t="s">
        <v>803</v>
      </c>
      <c r="B259" s="146" t="s">
        <v>804</v>
      </c>
      <c r="C259" s="146" t="s">
        <v>338</v>
      </c>
      <c r="D259" s="146" t="s">
        <v>339</v>
      </c>
      <c r="E259" s="146" t="s">
        <v>231</v>
      </c>
      <c r="F259" s="146" t="s">
        <v>228</v>
      </c>
      <c r="G259" s="146" t="s">
        <v>228</v>
      </c>
      <c r="H259" s="146" t="s">
        <v>228</v>
      </c>
      <c r="I259" s="146" t="s">
        <v>228</v>
      </c>
      <c r="J259" s="146" t="s">
        <v>796</v>
      </c>
      <c r="K259" s="146" t="s">
        <v>235</v>
      </c>
    </row>
    <row r="260" spans="1:11" x14ac:dyDescent="0.25">
      <c r="A260" s="146" t="s">
        <v>805</v>
      </c>
      <c r="B260" s="146" t="s">
        <v>806</v>
      </c>
      <c r="C260" s="146" t="s">
        <v>338</v>
      </c>
      <c r="D260" s="146" t="s">
        <v>339</v>
      </c>
      <c r="E260" s="146" t="s">
        <v>231</v>
      </c>
      <c r="F260" s="146" t="s">
        <v>228</v>
      </c>
      <c r="G260" s="146" t="s">
        <v>228</v>
      </c>
      <c r="H260" s="146" t="s">
        <v>228</v>
      </c>
      <c r="I260" s="146" t="s">
        <v>228</v>
      </c>
      <c r="J260" s="146" t="s">
        <v>422</v>
      </c>
      <c r="K260" s="146" t="s">
        <v>235</v>
      </c>
    </row>
    <row r="261" spans="1:11" x14ac:dyDescent="0.25">
      <c r="A261" s="146" t="s">
        <v>807</v>
      </c>
      <c r="B261" s="146" t="s">
        <v>808</v>
      </c>
      <c r="C261" s="146" t="s">
        <v>338</v>
      </c>
      <c r="D261" s="146" t="s">
        <v>339</v>
      </c>
      <c r="E261" s="146" t="s">
        <v>231</v>
      </c>
      <c r="F261" s="146" t="s">
        <v>228</v>
      </c>
      <c r="G261" s="146" t="s">
        <v>228</v>
      </c>
      <c r="H261" s="146" t="s">
        <v>228</v>
      </c>
      <c r="I261" s="146" t="s">
        <v>228</v>
      </c>
      <c r="J261" s="146" t="s">
        <v>422</v>
      </c>
      <c r="K261" s="146" t="s">
        <v>235</v>
      </c>
    </row>
    <row r="262" spans="1:11" x14ac:dyDescent="0.25">
      <c r="A262" s="146" t="s">
        <v>809</v>
      </c>
      <c r="B262" s="146" t="s">
        <v>810</v>
      </c>
      <c r="C262" s="146" t="s">
        <v>338</v>
      </c>
      <c r="D262" s="146" t="s">
        <v>339</v>
      </c>
      <c r="E262" s="146" t="s">
        <v>231</v>
      </c>
      <c r="F262" s="146" t="s">
        <v>228</v>
      </c>
      <c r="G262" s="146" t="s">
        <v>228</v>
      </c>
      <c r="H262" s="146" t="s">
        <v>228</v>
      </c>
      <c r="I262" s="146" t="s">
        <v>228</v>
      </c>
      <c r="J262" s="146" t="s">
        <v>811</v>
      </c>
      <c r="K262" s="146" t="s">
        <v>235</v>
      </c>
    </row>
    <row r="263" spans="1:11" x14ac:dyDescent="0.25">
      <c r="A263" s="146" t="s">
        <v>812</v>
      </c>
      <c r="B263" s="146" t="s">
        <v>813</v>
      </c>
      <c r="C263" s="146" t="s">
        <v>338</v>
      </c>
      <c r="D263" s="146" t="s">
        <v>339</v>
      </c>
      <c r="E263" s="146" t="s">
        <v>231</v>
      </c>
      <c r="F263" s="146" t="s">
        <v>228</v>
      </c>
      <c r="G263" s="146" t="s">
        <v>228</v>
      </c>
      <c r="H263" s="146" t="s">
        <v>228</v>
      </c>
      <c r="I263" s="146" t="s">
        <v>228</v>
      </c>
      <c r="J263" s="146" t="s">
        <v>240</v>
      </c>
      <c r="K263" s="146" t="s">
        <v>235</v>
      </c>
    </row>
    <row r="264" spans="1:11" x14ac:dyDescent="0.25">
      <c r="A264" s="146" t="s">
        <v>814</v>
      </c>
      <c r="B264" s="146" t="s">
        <v>815</v>
      </c>
      <c r="C264" s="146" t="s">
        <v>338</v>
      </c>
      <c r="D264" s="146" t="s">
        <v>339</v>
      </c>
      <c r="E264" s="146" t="s">
        <v>231</v>
      </c>
      <c r="F264" s="146" t="s">
        <v>228</v>
      </c>
      <c r="G264" s="146" t="s">
        <v>228</v>
      </c>
      <c r="H264" s="146" t="s">
        <v>228</v>
      </c>
      <c r="I264" s="146" t="s">
        <v>228</v>
      </c>
      <c r="J264" s="146" t="s">
        <v>775</v>
      </c>
      <c r="K264" s="146" t="s">
        <v>235</v>
      </c>
    </row>
    <row r="265" spans="1:11" x14ac:dyDescent="0.25">
      <c r="A265" s="146" t="s">
        <v>816</v>
      </c>
      <c r="B265" s="146" t="s">
        <v>817</v>
      </c>
      <c r="C265" s="146" t="s">
        <v>338</v>
      </c>
      <c r="D265" s="146" t="s">
        <v>339</v>
      </c>
      <c r="E265" s="146" t="s">
        <v>231</v>
      </c>
      <c r="F265" s="146" t="s">
        <v>228</v>
      </c>
      <c r="G265" s="146" t="s">
        <v>228</v>
      </c>
      <c r="H265" s="146" t="s">
        <v>228</v>
      </c>
      <c r="I265" s="146" t="s">
        <v>228</v>
      </c>
      <c r="J265" s="146" t="s">
        <v>240</v>
      </c>
      <c r="K265" s="146" t="s">
        <v>341</v>
      </c>
    </row>
    <row r="266" spans="1:11" x14ac:dyDescent="0.25">
      <c r="A266" s="146" t="s">
        <v>818</v>
      </c>
      <c r="B266" s="146" t="s">
        <v>819</v>
      </c>
      <c r="C266" s="146" t="s">
        <v>338</v>
      </c>
      <c r="D266" s="146" t="s">
        <v>339</v>
      </c>
      <c r="E266" s="146" t="s">
        <v>231</v>
      </c>
      <c r="F266" s="146" t="s">
        <v>228</v>
      </c>
      <c r="G266" s="146" t="s">
        <v>228</v>
      </c>
      <c r="H266" s="146" t="s">
        <v>228</v>
      </c>
      <c r="I266" s="146" t="s">
        <v>228</v>
      </c>
      <c r="J266" s="146" t="s">
        <v>820</v>
      </c>
      <c r="K266" s="146" t="s">
        <v>235</v>
      </c>
    </row>
    <row r="267" spans="1:11" x14ac:dyDescent="0.25">
      <c r="A267" s="146" t="s">
        <v>821</v>
      </c>
      <c r="B267" s="146" t="s">
        <v>822</v>
      </c>
      <c r="C267" s="146" t="s">
        <v>338</v>
      </c>
      <c r="D267" s="146" t="s">
        <v>339</v>
      </c>
      <c r="E267" s="146" t="s">
        <v>231</v>
      </c>
      <c r="F267" s="146" t="s">
        <v>228</v>
      </c>
      <c r="G267" s="146" t="s">
        <v>228</v>
      </c>
      <c r="H267" s="146" t="s">
        <v>228</v>
      </c>
      <c r="I267" s="146" t="s">
        <v>228</v>
      </c>
      <c r="J267" s="146" t="s">
        <v>243</v>
      </c>
      <c r="K267" s="146" t="s">
        <v>235</v>
      </c>
    </row>
    <row r="268" spans="1:11" x14ac:dyDescent="0.25">
      <c r="A268" s="146" t="s">
        <v>823</v>
      </c>
      <c r="B268" s="146" t="s">
        <v>824</v>
      </c>
      <c r="C268" s="146" t="s">
        <v>338</v>
      </c>
      <c r="D268" s="146" t="s">
        <v>339</v>
      </c>
      <c r="E268" s="146" t="s">
        <v>231</v>
      </c>
      <c r="F268" s="146" t="s">
        <v>228</v>
      </c>
      <c r="G268" s="146" t="s">
        <v>228</v>
      </c>
      <c r="H268" s="146" t="s">
        <v>228</v>
      </c>
      <c r="I268" s="146" t="s">
        <v>228</v>
      </c>
      <c r="J268" s="146" t="s">
        <v>820</v>
      </c>
      <c r="K268" s="146" t="s">
        <v>235</v>
      </c>
    </row>
    <row r="269" spans="1:11" x14ac:dyDescent="0.25">
      <c r="A269" s="146" t="s">
        <v>825</v>
      </c>
      <c r="B269" s="146" t="s">
        <v>826</v>
      </c>
      <c r="C269" s="146" t="s">
        <v>338</v>
      </c>
      <c r="D269" s="146" t="s">
        <v>339</v>
      </c>
      <c r="E269" s="146" t="s">
        <v>231</v>
      </c>
      <c r="F269" s="146" t="s">
        <v>228</v>
      </c>
      <c r="G269" s="146" t="s">
        <v>228</v>
      </c>
      <c r="H269" s="146" t="s">
        <v>228</v>
      </c>
      <c r="I269" s="146" t="s">
        <v>228</v>
      </c>
      <c r="J269" s="146" t="s">
        <v>243</v>
      </c>
      <c r="K269" s="146" t="s">
        <v>235</v>
      </c>
    </row>
    <row r="270" spans="1:11" x14ac:dyDescent="0.25">
      <c r="A270" s="146" t="s">
        <v>827</v>
      </c>
      <c r="B270" s="146" t="s">
        <v>828</v>
      </c>
      <c r="C270" s="146" t="s">
        <v>338</v>
      </c>
      <c r="D270" s="146" t="s">
        <v>339</v>
      </c>
      <c r="E270" s="146" t="s">
        <v>231</v>
      </c>
      <c r="F270" s="146" t="s">
        <v>228</v>
      </c>
      <c r="G270" s="146" t="s">
        <v>228</v>
      </c>
      <c r="H270" s="146" t="s">
        <v>228</v>
      </c>
      <c r="I270" s="146" t="s">
        <v>228</v>
      </c>
      <c r="J270" s="146" t="s">
        <v>240</v>
      </c>
      <c r="K270" s="146" t="s">
        <v>235</v>
      </c>
    </row>
    <row r="271" spans="1:11" x14ac:dyDescent="0.25">
      <c r="A271" s="146" t="s">
        <v>829</v>
      </c>
      <c r="B271" s="146" t="s">
        <v>830</v>
      </c>
      <c r="C271" s="146" t="s">
        <v>338</v>
      </c>
      <c r="D271" s="146" t="s">
        <v>339</v>
      </c>
      <c r="E271" s="146" t="s">
        <v>231</v>
      </c>
      <c r="F271" s="146" t="s">
        <v>228</v>
      </c>
      <c r="G271" s="146" t="s">
        <v>228</v>
      </c>
      <c r="H271" s="146" t="s">
        <v>228</v>
      </c>
      <c r="I271" s="146" t="s">
        <v>228</v>
      </c>
      <c r="J271" s="146" t="s">
        <v>320</v>
      </c>
      <c r="K271" s="146" t="s">
        <v>235</v>
      </c>
    </row>
    <row r="272" spans="1:11" x14ac:dyDescent="0.25">
      <c r="A272" s="146" t="s">
        <v>831</v>
      </c>
      <c r="B272" s="146" t="s">
        <v>832</v>
      </c>
      <c r="C272" s="146" t="s">
        <v>338</v>
      </c>
      <c r="D272" s="146" t="s">
        <v>339</v>
      </c>
      <c r="E272" s="146" t="s">
        <v>231</v>
      </c>
      <c r="F272" s="146" t="s">
        <v>228</v>
      </c>
      <c r="G272" s="146" t="s">
        <v>228</v>
      </c>
      <c r="H272" s="146" t="s">
        <v>228</v>
      </c>
      <c r="I272" s="146" t="s">
        <v>228</v>
      </c>
      <c r="J272" s="146" t="s">
        <v>240</v>
      </c>
      <c r="K272" s="146" t="s">
        <v>235</v>
      </c>
    </row>
    <row r="273" spans="1:11" x14ac:dyDescent="0.25">
      <c r="A273" s="146" t="s">
        <v>833</v>
      </c>
      <c r="B273" s="146" t="s">
        <v>834</v>
      </c>
      <c r="C273" s="146" t="s">
        <v>332</v>
      </c>
      <c r="D273" s="146" t="s">
        <v>333</v>
      </c>
      <c r="E273" s="146" t="s">
        <v>231</v>
      </c>
      <c r="F273" s="146" t="s">
        <v>228</v>
      </c>
      <c r="G273" s="146" t="s">
        <v>228</v>
      </c>
      <c r="H273" s="146" t="s">
        <v>228</v>
      </c>
      <c r="I273" s="146" t="s">
        <v>228</v>
      </c>
      <c r="J273" s="146" t="s">
        <v>523</v>
      </c>
      <c r="K273" s="146" t="s">
        <v>235</v>
      </c>
    </row>
    <row r="274" spans="1:11" x14ac:dyDescent="0.25">
      <c r="A274" s="146" t="s">
        <v>835</v>
      </c>
      <c r="B274" s="146" t="s">
        <v>836</v>
      </c>
      <c r="C274" s="146" t="s">
        <v>332</v>
      </c>
      <c r="D274" s="146" t="s">
        <v>333</v>
      </c>
      <c r="E274" s="146" t="s">
        <v>231</v>
      </c>
      <c r="F274" s="146" t="s">
        <v>228</v>
      </c>
      <c r="G274" s="146" t="s">
        <v>228</v>
      </c>
      <c r="H274" s="146" t="s">
        <v>228</v>
      </c>
      <c r="I274" s="146" t="s">
        <v>228</v>
      </c>
      <c r="J274" s="146" t="s">
        <v>523</v>
      </c>
      <c r="K274" s="146" t="s">
        <v>341</v>
      </c>
    </row>
    <row r="275" spans="1:11" x14ac:dyDescent="0.25">
      <c r="A275" s="146" t="s">
        <v>837</v>
      </c>
      <c r="B275" s="146" t="s">
        <v>838</v>
      </c>
      <c r="C275" s="146" t="s">
        <v>332</v>
      </c>
      <c r="D275" s="146" t="s">
        <v>333</v>
      </c>
      <c r="E275" s="146" t="s">
        <v>231</v>
      </c>
      <c r="F275" s="146" t="s">
        <v>228</v>
      </c>
      <c r="G275" s="146" t="s">
        <v>228</v>
      </c>
      <c r="H275" s="146" t="s">
        <v>228</v>
      </c>
      <c r="I275" s="146" t="s">
        <v>228</v>
      </c>
      <c r="J275" s="146" t="s">
        <v>523</v>
      </c>
      <c r="K275" s="146" t="s">
        <v>341</v>
      </c>
    </row>
    <row r="276" spans="1:11" x14ac:dyDescent="0.25">
      <c r="A276" s="146" t="s">
        <v>839</v>
      </c>
      <c r="B276" s="146" t="s">
        <v>840</v>
      </c>
      <c r="C276" s="146" t="s">
        <v>332</v>
      </c>
      <c r="D276" s="146" t="s">
        <v>333</v>
      </c>
      <c r="E276" s="146" t="s">
        <v>231</v>
      </c>
      <c r="F276" s="146" t="s">
        <v>228</v>
      </c>
      <c r="G276" s="146" t="s">
        <v>228</v>
      </c>
      <c r="H276" s="146" t="s">
        <v>228</v>
      </c>
      <c r="I276" s="146" t="s">
        <v>228</v>
      </c>
      <c r="J276" s="146" t="s">
        <v>523</v>
      </c>
      <c r="K276" s="146" t="s">
        <v>235</v>
      </c>
    </row>
    <row r="277" spans="1:11" x14ac:dyDescent="0.25">
      <c r="A277" s="146" t="s">
        <v>841</v>
      </c>
      <c r="B277" s="146" t="s">
        <v>842</v>
      </c>
      <c r="C277" s="146" t="s">
        <v>332</v>
      </c>
      <c r="D277" s="146" t="s">
        <v>333</v>
      </c>
      <c r="E277" s="146" t="s">
        <v>231</v>
      </c>
      <c r="F277" s="146" t="s">
        <v>228</v>
      </c>
      <c r="G277" s="146" t="s">
        <v>228</v>
      </c>
      <c r="H277" s="146" t="s">
        <v>228</v>
      </c>
      <c r="I277" s="146" t="s">
        <v>228</v>
      </c>
      <c r="J277" s="146" t="s">
        <v>523</v>
      </c>
      <c r="K277" s="146" t="s">
        <v>235</v>
      </c>
    </row>
    <row r="278" spans="1:11" x14ac:dyDescent="0.25">
      <c r="A278" s="146" t="s">
        <v>843</v>
      </c>
      <c r="B278" s="146" t="s">
        <v>844</v>
      </c>
      <c r="C278" s="146" t="s">
        <v>332</v>
      </c>
      <c r="D278" s="146" t="s">
        <v>333</v>
      </c>
      <c r="E278" s="146" t="s">
        <v>231</v>
      </c>
      <c r="F278" s="146" t="s">
        <v>228</v>
      </c>
      <c r="G278" s="146" t="s">
        <v>228</v>
      </c>
      <c r="H278" s="146" t="s">
        <v>228</v>
      </c>
      <c r="I278" s="146" t="s">
        <v>228</v>
      </c>
      <c r="J278" s="146" t="s">
        <v>523</v>
      </c>
      <c r="K278" s="146" t="s">
        <v>235</v>
      </c>
    </row>
    <row r="279" spans="1:11" x14ac:dyDescent="0.25">
      <c r="A279" s="146" t="s">
        <v>845</v>
      </c>
      <c r="B279" s="146" t="s">
        <v>846</v>
      </c>
      <c r="C279" s="146" t="s">
        <v>332</v>
      </c>
      <c r="D279" s="146" t="s">
        <v>333</v>
      </c>
      <c r="E279" s="146" t="s">
        <v>847</v>
      </c>
      <c r="F279" s="146" t="s">
        <v>228</v>
      </c>
      <c r="G279" s="146" t="s">
        <v>228</v>
      </c>
      <c r="H279" s="146" t="s">
        <v>228</v>
      </c>
      <c r="I279" s="146" t="s">
        <v>228</v>
      </c>
      <c r="J279" s="146" t="s">
        <v>523</v>
      </c>
      <c r="K279" s="146" t="s">
        <v>235</v>
      </c>
    </row>
    <row r="280" spans="1:11" x14ac:dyDescent="0.25">
      <c r="A280" s="146" t="s">
        <v>848</v>
      </c>
      <c r="B280" s="146" t="s">
        <v>849</v>
      </c>
      <c r="C280" s="146" t="s">
        <v>332</v>
      </c>
      <c r="D280" s="146" t="s">
        <v>333</v>
      </c>
      <c r="E280" s="146" t="s">
        <v>231</v>
      </c>
      <c r="F280" s="146" t="s">
        <v>228</v>
      </c>
      <c r="G280" s="146" t="s">
        <v>228</v>
      </c>
      <c r="H280" s="146" t="s">
        <v>228</v>
      </c>
      <c r="I280" s="146" t="s">
        <v>228</v>
      </c>
      <c r="J280" s="146" t="s">
        <v>523</v>
      </c>
      <c r="K280" s="146" t="s">
        <v>341</v>
      </c>
    </row>
    <row r="281" spans="1:11" x14ac:dyDescent="0.25">
      <c r="A281" s="146" t="s">
        <v>850</v>
      </c>
      <c r="B281" s="146" t="s">
        <v>851</v>
      </c>
      <c r="C281" s="146" t="s">
        <v>332</v>
      </c>
      <c r="D281" s="146" t="s">
        <v>333</v>
      </c>
      <c r="E281" s="146" t="s">
        <v>231</v>
      </c>
      <c r="F281" s="146" t="s">
        <v>228</v>
      </c>
      <c r="G281" s="146" t="s">
        <v>228</v>
      </c>
      <c r="H281" s="146" t="s">
        <v>228</v>
      </c>
      <c r="I281" s="146" t="s">
        <v>228</v>
      </c>
      <c r="J281" s="146" t="s">
        <v>523</v>
      </c>
      <c r="K281" s="146" t="s">
        <v>341</v>
      </c>
    </row>
    <row r="282" spans="1:11" x14ac:dyDescent="0.25">
      <c r="A282" s="146" t="s">
        <v>852</v>
      </c>
      <c r="B282" s="146" t="s">
        <v>853</v>
      </c>
      <c r="C282" s="146" t="s">
        <v>332</v>
      </c>
      <c r="D282" s="146" t="s">
        <v>333</v>
      </c>
      <c r="E282" s="146" t="s">
        <v>231</v>
      </c>
      <c r="F282" s="146" t="s">
        <v>228</v>
      </c>
      <c r="G282" s="146" t="s">
        <v>228</v>
      </c>
      <c r="H282" s="146" t="s">
        <v>228</v>
      </c>
      <c r="I282" s="146" t="s">
        <v>228</v>
      </c>
      <c r="J282" s="146" t="s">
        <v>523</v>
      </c>
      <c r="K282" s="146" t="s">
        <v>235</v>
      </c>
    </row>
    <row r="283" spans="1:11" x14ac:dyDescent="0.25">
      <c r="A283" s="146" t="s">
        <v>854</v>
      </c>
      <c r="B283" s="146" t="s">
        <v>855</v>
      </c>
      <c r="C283" s="146" t="s">
        <v>332</v>
      </c>
      <c r="D283" s="146" t="s">
        <v>333</v>
      </c>
      <c r="E283" s="146" t="s">
        <v>231</v>
      </c>
      <c r="F283" s="146" t="s">
        <v>228</v>
      </c>
      <c r="G283" s="146" t="s">
        <v>228</v>
      </c>
      <c r="H283" s="146" t="s">
        <v>228</v>
      </c>
      <c r="I283" s="146" t="s">
        <v>228</v>
      </c>
      <c r="J283" s="146" t="s">
        <v>523</v>
      </c>
      <c r="K283" s="146" t="s">
        <v>235</v>
      </c>
    </row>
    <row r="284" spans="1:11" x14ac:dyDescent="0.25">
      <c r="A284" s="146" t="s">
        <v>856</v>
      </c>
      <c r="B284" s="146" t="s">
        <v>857</v>
      </c>
      <c r="C284" s="146" t="s">
        <v>332</v>
      </c>
      <c r="D284" s="146" t="s">
        <v>333</v>
      </c>
      <c r="E284" s="146" t="s">
        <v>231</v>
      </c>
      <c r="F284" s="146" t="s">
        <v>228</v>
      </c>
      <c r="G284" s="146" t="s">
        <v>228</v>
      </c>
      <c r="H284" s="146" t="s">
        <v>228</v>
      </c>
      <c r="I284" s="146" t="s">
        <v>228</v>
      </c>
      <c r="J284" s="146" t="s">
        <v>523</v>
      </c>
      <c r="K284" s="146" t="s">
        <v>235</v>
      </c>
    </row>
    <row r="285" spans="1:11" x14ac:dyDescent="0.25">
      <c r="A285" s="146" t="s">
        <v>858</v>
      </c>
      <c r="B285" s="146" t="s">
        <v>859</v>
      </c>
      <c r="C285" s="146" t="s">
        <v>332</v>
      </c>
      <c r="D285" s="146" t="s">
        <v>333</v>
      </c>
      <c r="E285" s="146" t="s">
        <v>231</v>
      </c>
      <c r="F285" s="146" t="s">
        <v>228</v>
      </c>
      <c r="G285" s="146" t="s">
        <v>228</v>
      </c>
      <c r="H285" s="146" t="s">
        <v>228</v>
      </c>
      <c r="I285" s="146" t="s">
        <v>228</v>
      </c>
      <c r="J285" s="146" t="s">
        <v>523</v>
      </c>
      <c r="K285" s="146" t="s">
        <v>235</v>
      </c>
    </row>
    <row r="286" spans="1:11" x14ac:dyDescent="0.25">
      <c r="A286" s="146" t="s">
        <v>860</v>
      </c>
      <c r="B286" s="146" t="s">
        <v>861</v>
      </c>
      <c r="C286" s="146" t="s">
        <v>332</v>
      </c>
      <c r="D286" s="146" t="s">
        <v>333</v>
      </c>
      <c r="E286" s="146" t="s">
        <v>231</v>
      </c>
      <c r="F286" s="146" t="s">
        <v>228</v>
      </c>
      <c r="G286" s="146" t="s">
        <v>228</v>
      </c>
      <c r="H286" s="146" t="s">
        <v>228</v>
      </c>
      <c r="I286" s="146" t="s">
        <v>228</v>
      </c>
      <c r="J286" s="146" t="s">
        <v>523</v>
      </c>
      <c r="K286" s="146" t="s">
        <v>235</v>
      </c>
    </row>
    <row r="287" spans="1:11" x14ac:dyDescent="0.25">
      <c r="A287" s="146" t="s">
        <v>862</v>
      </c>
      <c r="B287" s="146" t="s">
        <v>863</v>
      </c>
      <c r="C287" s="146" t="s">
        <v>332</v>
      </c>
      <c r="D287" s="146" t="s">
        <v>333</v>
      </c>
      <c r="E287" s="146" t="s">
        <v>231</v>
      </c>
      <c r="F287" s="146" t="s">
        <v>228</v>
      </c>
      <c r="G287" s="146" t="s">
        <v>228</v>
      </c>
      <c r="H287" s="146" t="s">
        <v>228</v>
      </c>
      <c r="I287" s="146" t="s">
        <v>228</v>
      </c>
      <c r="J287" s="146" t="s">
        <v>523</v>
      </c>
      <c r="K287" s="146" t="s">
        <v>235</v>
      </c>
    </row>
    <row r="288" spans="1:11" x14ac:dyDescent="0.25">
      <c r="A288" s="146" t="s">
        <v>864</v>
      </c>
      <c r="B288" s="146" t="s">
        <v>865</v>
      </c>
      <c r="C288" s="146" t="s">
        <v>332</v>
      </c>
      <c r="D288" s="146" t="s">
        <v>333</v>
      </c>
      <c r="E288" s="146" t="s">
        <v>231</v>
      </c>
      <c r="F288" s="146" t="s">
        <v>228</v>
      </c>
      <c r="G288" s="146" t="s">
        <v>228</v>
      </c>
      <c r="H288" s="146" t="s">
        <v>228</v>
      </c>
      <c r="I288" s="146" t="s">
        <v>228</v>
      </c>
      <c r="J288" s="146" t="s">
        <v>523</v>
      </c>
      <c r="K288" s="146" t="s">
        <v>341</v>
      </c>
    </row>
    <row r="289" spans="1:11" x14ac:dyDescent="0.25">
      <c r="A289" s="146" t="s">
        <v>866</v>
      </c>
      <c r="B289" s="146" t="s">
        <v>867</v>
      </c>
      <c r="C289" s="146" t="s">
        <v>332</v>
      </c>
      <c r="D289" s="146" t="s">
        <v>333</v>
      </c>
      <c r="E289" s="146" t="s">
        <v>231</v>
      </c>
      <c r="F289" s="146" t="s">
        <v>228</v>
      </c>
      <c r="G289" s="146" t="s">
        <v>228</v>
      </c>
      <c r="H289" s="146" t="s">
        <v>228</v>
      </c>
      <c r="I289" s="146" t="s">
        <v>228</v>
      </c>
      <c r="J289" s="146" t="s">
        <v>523</v>
      </c>
      <c r="K289" s="146" t="s">
        <v>235</v>
      </c>
    </row>
    <row r="290" spans="1:11" x14ac:dyDescent="0.25">
      <c r="A290" s="146" t="s">
        <v>868</v>
      </c>
      <c r="B290" s="146" t="s">
        <v>869</v>
      </c>
      <c r="C290" s="146" t="s">
        <v>332</v>
      </c>
      <c r="D290" s="146" t="s">
        <v>333</v>
      </c>
      <c r="E290" s="146" t="s">
        <v>231</v>
      </c>
      <c r="F290" s="146" t="s">
        <v>228</v>
      </c>
      <c r="G290" s="146" t="s">
        <v>228</v>
      </c>
      <c r="H290" s="146" t="s">
        <v>228</v>
      </c>
      <c r="I290" s="146" t="s">
        <v>228</v>
      </c>
      <c r="J290" s="146" t="s">
        <v>523</v>
      </c>
      <c r="K290" s="146" t="s">
        <v>235</v>
      </c>
    </row>
    <row r="291" spans="1:11" x14ac:dyDescent="0.25">
      <c r="A291" s="146" t="s">
        <v>870</v>
      </c>
      <c r="B291" s="146" t="s">
        <v>871</v>
      </c>
      <c r="C291" s="146" t="s">
        <v>332</v>
      </c>
      <c r="D291" s="146" t="s">
        <v>231</v>
      </c>
      <c r="E291" s="146" t="s">
        <v>231</v>
      </c>
      <c r="F291" s="146" t="s">
        <v>228</v>
      </c>
      <c r="G291" s="146" t="s">
        <v>228</v>
      </c>
      <c r="H291" s="146" t="s">
        <v>228</v>
      </c>
      <c r="I291" s="146" t="s">
        <v>228</v>
      </c>
      <c r="J291" s="146" t="s">
        <v>872</v>
      </c>
      <c r="K291" s="146" t="s">
        <v>235</v>
      </c>
    </row>
    <row r="292" spans="1:11" x14ac:dyDescent="0.25">
      <c r="A292" s="146" t="s">
        <v>873</v>
      </c>
      <c r="B292" s="146" t="s">
        <v>874</v>
      </c>
      <c r="C292" s="146" t="s">
        <v>332</v>
      </c>
      <c r="D292" s="146" t="s">
        <v>333</v>
      </c>
      <c r="E292" s="146" t="s">
        <v>231</v>
      </c>
      <c r="F292" s="146" t="s">
        <v>228</v>
      </c>
      <c r="G292" s="146" t="s">
        <v>228</v>
      </c>
      <c r="H292" s="146" t="s">
        <v>228</v>
      </c>
      <c r="I292" s="146" t="s">
        <v>228</v>
      </c>
      <c r="J292" s="146" t="s">
        <v>523</v>
      </c>
      <c r="K292" s="146" t="s">
        <v>235</v>
      </c>
    </row>
    <row r="293" spans="1:11" x14ac:dyDescent="0.25">
      <c r="A293" s="146" t="s">
        <v>875</v>
      </c>
      <c r="B293" s="146" t="s">
        <v>871</v>
      </c>
      <c r="C293" s="146" t="s">
        <v>332</v>
      </c>
      <c r="D293" s="146" t="s">
        <v>231</v>
      </c>
      <c r="E293" s="146" t="s">
        <v>231</v>
      </c>
      <c r="F293" s="146" t="s">
        <v>228</v>
      </c>
      <c r="G293" s="146" t="s">
        <v>228</v>
      </c>
      <c r="H293" s="146" t="s">
        <v>228</v>
      </c>
      <c r="I293" s="146" t="s">
        <v>228</v>
      </c>
      <c r="J293" s="146" t="s">
        <v>872</v>
      </c>
      <c r="K293" s="146" t="s">
        <v>235</v>
      </c>
    </row>
    <row r="294" spans="1:11" x14ac:dyDescent="0.25">
      <c r="A294" s="146" t="s">
        <v>876</v>
      </c>
      <c r="B294" s="146" t="s">
        <v>871</v>
      </c>
      <c r="C294" s="146" t="s">
        <v>332</v>
      </c>
      <c r="D294" s="146" t="s">
        <v>231</v>
      </c>
      <c r="E294" s="146" t="s">
        <v>231</v>
      </c>
      <c r="F294" s="146" t="s">
        <v>228</v>
      </c>
      <c r="G294" s="146" t="s">
        <v>228</v>
      </c>
      <c r="H294" s="146" t="s">
        <v>228</v>
      </c>
      <c r="I294" s="146" t="s">
        <v>228</v>
      </c>
      <c r="J294" s="146" t="s">
        <v>872</v>
      </c>
      <c r="K294" s="146" t="s">
        <v>235</v>
      </c>
    </row>
    <row r="295" spans="1:11" x14ac:dyDescent="0.25">
      <c r="A295" s="146" t="s">
        <v>877</v>
      </c>
      <c r="B295" s="146" t="s">
        <v>871</v>
      </c>
      <c r="C295" s="146" t="s">
        <v>332</v>
      </c>
      <c r="D295" s="146" t="s">
        <v>231</v>
      </c>
      <c r="E295" s="146" t="s">
        <v>231</v>
      </c>
      <c r="F295" s="146" t="s">
        <v>228</v>
      </c>
      <c r="G295" s="146" t="s">
        <v>228</v>
      </c>
      <c r="H295" s="146" t="s">
        <v>228</v>
      </c>
      <c r="I295" s="146" t="s">
        <v>228</v>
      </c>
      <c r="J295" s="146" t="s">
        <v>872</v>
      </c>
      <c r="K295" s="146" t="s">
        <v>235</v>
      </c>
    </row>
    <row r="296" spans="1:11" x14ac:dyDescent="0.25">
      <c r="A296" s="146" t="s">
        <v>878</v>
      </c>
      <c r="B296" s="146" t="s">
        <v>871</v>
      </c>
      <c r="C296" s="146" t="s">
        <v>332</v>
      </c>
      <c r="D296" s="146" t="s">
        <v>231</v>
      </c>
      <c r="E296" s="146" t="s">
        <v>231</v>
      </c>
      <c r="F296" s="146" t="s">
        <v>228</v>
      </c>
      <c r="G296" s="146" t="s">
        <v>228</v>
      </c>
      <c r="H296" s="146" t="s">
        <v>228</v>
      </c>
      <c r="I296" s="146" t="s">
        <v>228</v>
      </c>
      <c r="J296" s="146" t="s">
        <v>872</v>
      </c>
      <c r="K296" s="146" t="s">
        <v>235</v>
      </c>
    </row>
    <row r="297" spans="1:11" x14ac:dyDescent="0.25">
      <c r="A297" s="146" t="s">
        <v>879</v>
      </c>
      <c r="B297" s="146" t="s">
        <v>871</v>
      </c>
      <c r="C297" s="146" t="s">
        <v>332</v>
      </c>
      <c r="D297" s="146" t="s">
        <v>231</v>
      </c>
      <c r="E297" s="146" t="s">
        <v>231</v>
      </c>
      <c r="F297" s="146" t="s">
        <v>228</v>
      </c>
      <c r="G297" s="146" t="s">
        <v>228</v>
      </c>
      <c r="H297" s="146" t="s">
        <v>228</v>
      </c>
      <c r="I297" s="146" t="s">
        <v>228</v>
      </c>
      <c r="J297" s="146" t="s">
        <v>872</v>
      </c>
      <c r="K297" s="146" t="s">
        <v>235</v>
      </c>
    </row>
    <row r="298" spans="1:11" x14ac:dyDescent="0.25">
      <c r="A298" s="146" t="s">
        <v>880</v>
      </c>
      <c r="B298" s="146" t="s">
        <v>881</v>
      </c>
      <c r="C298" s="146" t="s">
        <v>332</v>
      </c>
      <c r="D298" s="146" t="s">
        <v>333</v>
      </c>
      <c r="E298" s="146" t="s">
        <v>231</v>
      </c>
      <c r="F298" s="146" t="s">
        <v>228</v>
      </c>
      <c r="G298" s="146" t="s">
        <v>228</v>
      </c>
      <c r="H298" s="146" t="s">
        <v>228</v>
      </c>
      <c r="I298" s="146" t="s">
        <v>228</v>
      </c>
      <c r="J298" s="146" t="s">
        <v>523</v>
      </c>
      <c r="K298" s="146" t="s">
        <v>235</v>
      </c>
    </row>
    <row r="299" spans="1:11" x14ac:dyDescent="0.25">
      <c r="A299" s="146" t="s">
        <v>882</v>
      </c>
      <c r="B299" s="146" t="s">
        <v>883</v>
      </c>
      <c r="C299" s="146" t="s">
        <v>332</v>
      </c>
      <c r="D299" s="146" t="s">
        <v>333</v>
      </c>
      <c r="E299" s="146" t="s">
        <v>231</v>
      </c>
      <c r="F299" s="146" t="s">
        <v>228</v>
      </c>
      <c r="G299" s="146" t="s">
        <v>228</v>
      </c>
      <c r="H299" s="146" t="s">
        <v>228</v>
      </c>
      <c r="I299" s="146" t="s">
        <v>228</v>
      </c>
      <c r="J299" s="146" t="s">
        <v>523</v>
      </c>
      <c r="K299" s="146" t="s">
        <v>341</v>
      </c>
    </row>
    <row r="300" spans="1:11" x14ac:dyDescent="0.25">
      <c r="A300" s="146" t="s">
        <v>884</v>
      </c>
      <c r="B300" s="146" t="s">
        <v>874</v>
      </c>
      <c r="C300" s="146" t="s">
        <v>332</v>
      </c>
      <c r="D300" s="146" t="s">
        <v>333</v>
      </c>
      <c r="E300" s="146" t="s">
        <v>231</v>
      </c>
      <c r="F300" s="146" t="s">
        <v>228</v>
      </c>
      <c r="G300" s="146" t="s">
        <v>228</v>
      </c>
      <c r="H300" s="146" t="s">
        <v>228</v>
      </c>
      <c r="I300" s="146" t="s">
        <v>228</v>
      </c>
      <c r="J300" s="146" t="s">
        <v>523</v>
      </c>
      <c r="K300" s="146" t="s">
        <v>235</v>
      </c>
    </row>
    <row r="301" spans="1:11" x14ac:dyDescent="0.25">
      <c r="A301" s="146" t="s">
        <v>885</v>
      </c>
      <c r="B301" s="146" t="s">
        <v>886</v>
      </c>
      <c r="C301" s="146" t="s">
        <v>332</v>
      </c>
      <c r="D301" s="146" t="s">
        <v>333</v>
      </c>
      <c r="E301" s="146" t="s">
        <v>231</v>
      </c>
      <c r="F301" s="146" t="s">
        <v>228</v>
      </c>
      <c r="G301" s="146" t="s">
        <v>228</v>
      </c>
      <c r="H301" s="146" t="s">
        <v>228</v>
      </c>
      <c r="I301" s="146" t="s">
        <v>228</v>
      </c>
      <c r="J301" s="146" t="s">
        <v>523</v>
      </c>
      <c r="K301" s="146" t="s">
        <v>341</v>
      </c>
    </row>
    <row r="302" spans="1:11" x14ac:dyDescent="0.25">
      <c r="A302" s="146" t="s">
        <v>887</v>
      </c>
      <c r="B302" s="146" t="s">
        <v>888</v>
      </c>
      <c r="C302" s="146" t="s">
        <v>332</v>
      </c>
      <c r="D302" s="146" t="s">
        <v>333</v>
      </c>
      <c r="E302" s="146" t="s">
        <v>231</v>
      </c>
      <c r="F302" s="146" t="s">
        <v>228</v>
      </c>
      <c r="G302" s="146" t="s">
        <v>228</v>
      </c>
      <c r="H302" s="146" t="s">
        <v>228</v>
      </c>
      <c r="I302" s="146" t="s">
        <v>228</v>
      </c>
      <c r="J302" s="146" t="s">
        <v>523</v>
      </c>
      <c r="K302" s="146" t="s">
        <v>341</v>
      </c>
    </row>
    <row r="303" spans="1:11" x14ac:dyDescent="0.25">
      <c r="A303" s="146" t="s">
        <v>889</v>
      </c>
      <c r="B303" s="146" t="s">
        <v>890</v>
      </c>
      <c r="C303" s="146" t="s">
        <v>332</v>
      </c>
      <c r="D303" s="146" t="s">
        <v>333</v>
      </c>
      <c r="E303" s="146" t="s">
        <v>231</v>
      </c>
      <c r="F303" s="146" t="s">
        <v>228</v>
      </c>
      <c r="G303" s="146" t="s">
        <v>228</v>
      </c>
      <c r="H303" s="146" t="s">
        <v>228</v>
      </c>
      <c r="I303" s="146" t="s">
        <v>228</v>
      </c>
      <c r="J303" s="146" t="s">
        <v>523</v>
      </c>
      <c r="K303" s="146" t="s">
        <v>341</v>
      </c>
    </row>
    <row r="304" spans="1:11" x14ac:dyDescent="0.25">
      <c r="A304" s="146" t="s">
        <v>891</v>
      </c>
      <c r="B304" s="146" t="s">
        <v>892</v>
      </c>
      <c r="C304" s="146" t="s">
        <v>332</v>
      </c>
      <c r="D304" s="146" t="s">
        <v>333</v>
      </c>
      <c r="E304" s="146" t="s">
        <v>231</v>
      </c>
      <c r="F304" s="146" t="s">
        <v>228</v>
      </c>
      <c r="G304" s="146" t="s">
        <v>228</v>
      </c>
      <c r="H304" s="146" t="s">
        <v>228</v>
      </c>
      <c r="I304" s="146" t="s">
        <v>228</v>
      </c>
      <c r="J304" s="146" t="s">
        <v>523</v>
      </c>
      <c r="K304" s="146" t="s">
        <v>341</v>
      </c>
    </row>
    <row r="305" spans="1:11" x14ac:dyDescent="0.25">
      <c r="A305" s="146" t="s">
        <v>893</v>
      </c>
      <c r="B305" s="146" t="s">
        <v>894</v>
      </c>
      <c r="C305" s="146" t="s">
        <v>332</v>
      </c>
      <c r="D305" s="146" t="s">
        <v>333</v>
      </c>
      <c r="E305" s="146" t="s">
        <v>231</v>
      </c>
      <c r="F305" s="146" t="s">
        <v>228</v>
      </c>
      <c r="G305" s="146" t="s">
        <v>228</v>
      </c>
      <c r="H305" s="146" t="s">
        <v>228</v>
      </c>
      <c r="I305" s="146" t="s">
        <v>228</v>
      </c>
      <c r="J305" s="146" t="s">
        <v>523</v>
      </c>
      <c r="K305" s="146" t="s">
        <v>341</v>
      </c>
    </row>
    <row r="306" spans="1:11" x14ac:dyDescent="0.25">
      <c r="A306" s="146" t="s">
        <v>895</v>
      </c>
      <c r="B306" s="146" t="s">
        <v>896</v>
      </c>
      <c r="C306" s="146" t="s">
        <v>332</v>
      </c>
      <c r="D306" s="146" t="s">
        <v>333</v>
      </c>
      <c r="E306" s="146" t="s">
        <v>231</v>
      </c>
      <c r="F306" s="146" t="s">
        <v>228</v>
      </c>
      <c r="G306" s="146" t="s">
        <v>228</v>
      </c>
      <c r="H306" s="146" t="s">
        <v>228</v>
      </c>
      <c r="I306" s="146" t="s">
        <v>228</v>
      </c>
      <c r="J306" s="146" t="s">
        <v>523</v>
      </c>
      <c r="K306" s="146" t="s">
        <v>235</v>
      </c>
    </row>
    <row r="307" spans="1:11" x14ac:dyDescent="0.25">
      <c r="A307" s="146" t="s">
        <v>897</v>
      </c>
      <c r="B307" s="146" t="s">
        <v>898</v>
      </c>
      <c r="C307" s="146" t="s">
        <v>332</v>
      </c>
      <c r="D307" s="146" t="s">
        <v>333</v>
      </c>
      <c r="E307" s="146" t="s">
        <v>231</v>
      </c>
      <c r="F307" s="146" t="s">
        <v>228</v>
      </c>
      <c r="G307" s="146" t="s">
        <v>228</v>
      </c>
      <c r="H307" s="146" t="s">
        <v>228</v>
      </c>
      <c r="I307" s="146" t="s">
        <v>228</v>
      </c>
      <c r="J307" s="146" t="s">
        <v>523</v>
      </c>
      <c r="K307" s="146" t="s">
        <v>235</v>
      </c>
    </row>
    <row r="308" spans="1:11" x14ac:dyDescent="0.25">
      <c r="A308" s="146" t="s">
        <v>899</v>
      </c>
      <c r="B308" s="146" t="s">
        <v>900</v>
      </c>
      <c r="C308" s="146" t="s">
        <v>332</v>
      </c>
      <c r="D308" s="146" t="s">
        <v>333</v>
      </c>
      <c r="E308" s="146" t="s">
        <v>231</v>
      </c>
      <c r="F308" s="146" t="s">
        <v>228</v>
      </c>
      <c r="G308" s="146" t="s">
        <v>228</v>
      </c>
      <c r="H308" s="146" t="s">
        <v>228</v>
      </c>
      <c r="I308" s="146" t="s">
        <v>228</v>
      </c>
      <c r="J308" s="146" t="s">
        <v>523</v>
      </c>
      <c r="K308" s="146" t="s">
        <v>235</v>
      </c>
    </row>
    <row r="309" spans="1:11" x14ac:dyDescent="0.25">
      <c r="A309" s="146" t="s">
        <v>901</v>
      </c>
      <c r="B309" s="146" t="s">
        <v>902</v>
      </c>
      <c r="C309" s="146" t="s">
        <v>332</v>
      </c>
      <c r="D309" s="146" t="s">
        <v>333</v>
      </c>
      <c r="E309" s="146" t="s">
        <v>231</v>
      </c>
      <c r="F309" s="146" t="s">
        <v>228</v>
      </c>
      <c r="G309" s="146" t="s">
        <v>228</v>
      </c>
      <c r="H309" s="146" t="s">
        <v>228</v>
      </c>
      <c r="I309" s="146" t="s">
        <v>228</v>
      </c>
      <c r="J309" s="146" t="s">
        <v>523</v>
      </c>
      <c r="K309" s="146" t="s">
        <v>235</v>
      </c>
    </row>
    <row r="310" spans="1:11" x14ac:dyDescent="0.25">
      <c r="A310" s="146" t="s">
        <v>903</v>
      </c>
      <c r="B310" s="146" t="s">
        <v>904</v>
      </c>
      <c r="C310" s="146" t="s">
        <v>332</v>
      </c>
      <c r="D310" s="146" t="s">
        <v>333</v>
      </c>
      <c r="E310" s="146" t="s">
        <v>231</v>
      </c>
      <c r="F310" s="146" t="s">
        <v>228</v>
      </c>
      <c r="G310" s="146" t="s">
        <v>228</v>
      </c>
      <c r="H310" s="146" t="s">
        <v>228</v>
      </c>
      <c r="I310" s="146" t="s">
        <v>228</v>
      </c>
      <c r="J310" s="146" t="s">
        <v>523</v>
      </c>
      <c r="K310" s="146" t="s">
        <v>235</v>
      </c>
    </row>
    <row r="311" spans="1:11" x14ac:dyDescent="0.25">
      <c r="A311" s="146" t="s">
        <v>905</v>
      </c>
      <c r="B311" s="146" t="s">
        <v>906</v>
      </c>
      <c r="C311" s="146" t="s">
        <v>332</v>
      </c>
      <c r="D311" s="146" t="s">
        <v>333</v>
      </c>
      <c r="E311" s="146" t="s">
        <v>231</v>
      </c>
      <c r="F311" s="146" t="s">
        <v>228</v>
      </c>
      <c r="G311" s="146" t="s">
        <v>228</v>
      </c>
      <c r="H311" s="146" t="s">
        <v>228</v>
      </c>
      <c r="I311" s="146" t="s">
        <v>228</v>
      </c>
      <c r="J311" s="146" t="s">
        <v>523</v>
      </c>
      <c r="K311" s="146" t="s">
        <v>235</v>
      </c>
    </row>
    <row r="312" spans="1:11" x14ac:dyDescent="0.25">
      <c r="A312" s="146" t="s">
        <v>907</v>
      </c>
      <c r="B312" s="146" t="s">
        <v>908</v>
      </c>
      <c r="C312" s="146" t="s">
        <v>332</v>
      </c>
      <c r="D312" s="146" t="s">
        <v>333</v>
      </c>
      <c r="E312" s="146" t="s">
        <v>231</v>
      </c>
      <c r="F312" s="146" t="s">
        <v>228</v>
      </c>
      <c r="G312" s="146" t="s">
        <v>228</v>
      </c>
      <c r="H312" s="146" t="s">
        <v>228</v>
      </c>
      <c r="I312" s="146" t="s">
        <v>228</v>
      </c>
      <c r="J312" s="146" t="s">
        <v>523</v>
      </c>
      <c r="K312" s="146" t="s">
        <v>235</v>
      </c>
    </row>
    <row r="313" spans="1:11" x14ac:dyDescent="0.25">
      <c r="A313" s="146" t="s">
        <v>909</v>
      </c>
      <c r="B313" s="146" t="s">
        <v>910</v>
      </c>
      <c r="C313" s="146" t="s">
        <v>332</v>
      </c>
      <c r="D313" s="146" t="s">
        <v>333</v>
      </c>
      <c r="E313" s="146" t="s">
        <v>231</v>
      </c>
      <c r="F313" s="146" t="s">
        <v>228</v>
      </c>
      <c r="G313" s="146" t="s">
        <v>228</v>
      </c>
      <c r="H313" s="146" t="s">
        <v>228</v>
      </c>
      <c r="I313" s="146" t="s">
        <v>228</v>
      </c>
      <c r="J313" s="146" t="s">
        <v>911</v>
      </c>
      <c r="K313" s="146" t="s">
        <v>235</v>
      </c>
    </row>
    <row r="314" spans="1:11" x14ac:dyDescent="0.25">
      <c r="A314" s="146" t="s">
        <v>912</v>
      </c>
      <c r="B314" s="146" t="s">
        <v>913</v>
      </c>
      <c r="C314" s="146" t="s">
        <v>332</v>
      </c>
      <c r="D314" s="146" t="s">
        <v>333</v>
      </c>
      <c r="E314" s="146" t="s">
        <v>231</v>
      </c>
      <c r="F314" s="146" t="s">
        <v>228</v>
      </c>
      <c r="G314" s="146" t="s">
        <v>228</v>
      </c>
      <c r="H314" s="146" t="s">
        <v>228</v>
      </c>
      <c r="I314" s="146" t="s">
        <v>228</v>
      </c>
      <c r="J314" s="146" t="s">
        <v>523</v>
      </c>
      <c r="K314" s="146" t="s">
        <v>235</v>
      </c>
    </row>
    <row r="315" spans="1:11" x14ac:dyDescent="0.25">
      <c r="A315" s="146" t="s">
        <v>914</v>
      </c>
      <c r="B315" s="146" t="s">
        <v>915</v>
      </c>
      <c r="C315" s="146" t="s">
        <v>332</v>
      </c>
      <c r="D315" s="146" t="s">
        <v>333</v>
      </c>
      <c r="E315" s="146" t="s">
        <v>231</v>
      </c>
      <c r="F315" s="146" t="s">
        <v>228</v>
      </c>
      <c r="G315" s="146" t="s">
        <v>228</v>
      </c>
      <c r="H315" s="146" t="s">
        <v>228</v>
      </c>
      <c r="I315" s="146" t="s">
        <v>228</v>
      </c>
      <c r="J315" s="146" t="s">
        <v>523</v>
      </c>
      <c r="K315" s="146" t="s">
        <v>235</v>
      </c>
    </row>
    <row r="316" spans="1:11" x14ac:dyDescent="0.25">
      <c r="A316" s="146" t="s">
        <v>916</v>
      </c>
      <c r="B316" s="146" t="s">
        <v>917</v>
      </c>
      <c r="C316" s="146" t="s">
        <v>332</v>
      </c>
      <c r="D316" s="146" t="s">
        <v>333</v>
      </c>
      <c r="E316" s="146" t="s">
        <v>231</v>
      </c>
      <c r="F316" s="146" t="s">
        <v>228</v>
      </c>
      <c r="G316" s="146" t="s">
        <v>228</v>
      </c>
      <c r="H316" s="146" t="s">
        <v>228</v>
      </c>
      <c r="I316" s="146" t="s">
        <v>228</v>
      </c>
      <c r="J316" s="146" t="s">
        <v>523</v>
      </c>
      <c r="K316" s="146" t="s">
        <v>235</v>
      </c>
    </row>
    <row r="317" spans="1:11" x14ac:dyDescent="0.25">
      <c r="A317" s="146" t="s">
        <v>918</v>
      </c>
      <c r="B317" s="146" t="s">
        <v>919</v>
      </c>
      <c r="C317" s="146" t="s">
        <v>332</v>
      </c>
      <c r="D317" s="146" t="s">
        <v>333</v>
      </c>
      <c r="E317" s="146" t="s">
        <v>231</v>
      </c>
      <c r="F317" s="146" t="s">
        <v>228</v>
      </c>
      <c r="G317" s="146" t="s">
        <v>228</v>
      </c>
      <c r="H317" s="146" t="s">
        <v>228</v>
      </c>
      <c r="I317" s="146" t="s">
        <v>228</v>
      </c>
      <c r="J317" s="146" t="s">
        <v>523</v>
      </c>
      <c r="K317" s="146" t="s">
        <v>235</v>
      </c>
    </row>
    <row r="318" spans="1:11" x14ac:dyDescent="0.25">
      <c r="A318" s="146" t="s">
        <v>920</v>
      </c>
      <c r="B318" s="146" t="s">
        <v>921</v>
      </c>
      <c r="C318" s="146" t="s">
        <v>332</v>
      </c>
      <c r="D318" s="146" t="s">
        <v>333</v>
      </c>
      <c r="E318" s="146" t="s">
        <v>231</v>
      </c>
      <c r="F318" s="146" t="s">
        <v>228</v>
      </c>
      <c r="G318" s="146" t="s">
        <v>228</v>
      </c>
      <c r="H318" s="146" t="s">
        <v>228</v>
      </c>
      <c r="I318" s="146" t="s">
        <v>228</v>
      </c>
      <c r="J318" s="146" t="s">
        <v>523</v>
      </c>
      <c r="K318" s="146" t="s">
        <v>235</v>
      </c>
    </row>
    <row r="319" spans="1:11" x14ac:dyDescent="0.25">
      <c r="A319" s="146" t="s">
        <v>922</v>
      </c>
      <c r="B319" s="146" t="s">
        <v>923</v>
      </c>
      <c r="C319" s="146" t="s">
        <v>332</v>
      </c>
      <c r="D319" s="146" t="s">
        <v>333</v>
      </c>
      <c r="E319" s="146" t="s">
        <v>231</v>
      </c>
      <c r="F319" s="146" t="s">
        <v>228</v>
      </c>
      <c r="G319" s="146" t="s">
        <v>228</v>
      </c>
      <c r="H319" s="146" t="s">
        <v>228</v>
      </c>
      <c r="I319" s="146" t="s">
        <v>228</v>
      </c>
      <c r="J319" s="146" t="s">
        <v>523</v>
      </c>
      <c r="K319" s="146" t="s">
        <v>235</v>
      </c>
    </row>
    <row r="320" spans="1:11" x14ac:dyDescent="0.25">
      <c r="A320" s="146" t="s">
        <v>924</v>
      </c>
      <c r="B320" s="146" t="s">
        <v>925</v>
      </c>
      <c r="C320" s="146" t="s">
        <v>344</v>
      </c>
      <c r="D320" s="146" t="s">
        <v>925</v>
      </c>
      <c r="E320" s="146" t="s">
        <v>231</v>
      </c>
      <c r="F320" s="146" t="s">
        <v>228</v>
      </c>
      <c r="G320" s="146" t="s">
        <v>228</v>
      </c>
      <c r="H320" s="146" t="s">
        <v>228</v>
      </c>
      <c r="I320" s="146" t="s">
        <v>228</v>
      </c>
      <c r="J320" s="146" t="s">
        <v>340</v>
      </c>
      <c r="K320" s="146" t="s">
        <v>235</v>
      </c>
    </row>
    <row r="321" spans="1:11" x14ac:dyDescent="0.25">
      <c r="A321" s="146" t="s">
        <v>926</v>
      </c>
      <c r="B321" s="146" t="s">
        <v>927</v>
      </c>
      <c r="C321" s="146" t="s">
        <v>344</v>
      </c>
      <c r="D321" s="146" t="s">
        <v>925</v>
      </c>
      <c r="E321" s="146" t="s">
        <v>231</v>
      </c>
      <c r="F321" s="146" t="s">
        <v>228</v>
      </c>
      <c r="G321" s="146" t="s">
        <v>228</v>
      </c>
      <c r="H321" s="146" t="s">
        <v>228</v>
      </c>
      <c r="I321" s="146" t="s">
        <v>228</v>
      </c>
      <c r="J321" s="146" t="s">
        <v>340</v>
      </c>
      <c r="K321" s="146" t="s">
        <v>235</v>
      </c>
    </row>
    <row r="322" spans="1:11" x14ac:dyDescent="0.25">
      <c r="A322" s="146" t="s">
        <v>928</v>
      </c>
      <c r="B322" s="146" t="s">
        <v>929</v>
      </c>
      <c r="C322" s="146" t="s">
        <v>344</v>
      </c>
      <c r="D322" s="146" t="s">
        <v>925</v>
      </c>
      <c r="E322" s="146" t="s">
        <v>231</v>
      </c>
      <c r="F322" s="146" t="s">
        <v>228</v>
      </c>
      <c r="G322" s="146" t="s">
        <v>228</v>
      </c>
      <c r="H322" s="146" t="s">
        <v>228</v>
      </c>
      <c r="I322" s="146" t="s">
        <v>228</v>
      </c>
      <c r="J322" s="146" t="s">
        <v>340</v>
      </c>
      <c r="K322" s="146" t="s">
        <v>235</v>
      </c>
    </row>
    <row r="323" spans="1:11" x14ac:dyDescent="0.25">
      <c r="A323" s="146" t="s">
        <v>930</v>
      </c>
      <c r="B323" s="146" t="s">
        <v>931</v>
      </c>
      <c r="C323" s="146" t="s">
        <v>344</v>
      </c>
      <c r="D323" s="146" t="s">
        <v>925</v>
      </c>
      <c r="E323" s="146" t="s">
        <v>231</v>
      </c>
      <c r="F323" s="146" t="s">
        <v>228</v>
      </c>
      <c r="G323" s="146" t="s">
        <v>228</v>
      </c>
      <c r="H323" s="146" t="s">
        <v>228</v>
      </c>
      <c r="I323" s="146" t="s">
        <v>228</v>
      </c>
      <c r="J323" s="146" t="s">
        <v>340</v>
      </c>
      <c r="K323" s="146" t="s">
        <v>235</v>
      </c>
    </row>
    <row r="324" spans="1:11" x14ac:dyDescent="0.25">
      <c r="A324" s="146" t="s">
        <v>932</v>
      </c>
      <c r="B324" s="146" t="s">
        <v>933</v>
      </c>
      <c r="C324" s="146" t="s">
        <v>344</v>
      </c>
      <c r="D324" s="146" t="s">
        <v>925</v>
      </c>
      <c r="E324" s="146" t="s">
        <v>231</v>
      </c>
      <c r="F324" s="146" t="s">
        <v>228</v>
      </c>
      <c r="G324" s="146" t="s">
        <v>228</v>
      </c>
      <c r="H324" s="146" t="s">
        <v>228</v>
      </c>
      <c r="I324" s="146" t="s">
        <v>228</v>
      </c>
      <c r="J324" s="146" t="s">
        <v>417</v>
      </c>
      <c r="K324" s="146" t="s">
        <v>235</v>
      </c>
    </row>
    <row r="325" spans="1:11" x14ac:dyDescent="0.25">
      <c r="A325" s="146" t="s">
        <v>934</v>
      </c>
      <c r="B325" s="146" t="s">
        <v>935</v>
      </c>
      <c r="C325" s="146" t="s">
        <v>344</v>
      </c>
      <c r="D325" s="146" t="s">
        <v>925</v>
      </c>
      <c r="E325" s="146" t="s">
        <v>231</v>
      </c>
      <c r="F325" s="146" t="s">
        <v>228</v>
      </c>
      <c r="G325" s="146" t="s">
        <v>228</v>
      </c>
      <c r="H325" s="146" t="s">
        <v>228</v>
      </c>
      <c r="I325" s="146" t="s">
        <v>228</v>
      </c>
      <c r="J325" s="146" t="s">
        <v>340</v>
      </c>
      <c r="K325" s="146" t="s">
        <v>235</v>
      </c>
    </row>
    <row r="326" spans="1:11" x14ac:dyDescent="0.25">
      <c r="A326" s="146" t="s">
        <v>936</v>
      </c>
      <c r="B326" s="146" t="s">
        <v>937</v>
      </c>
      <c r="C326" s="146" t="s">
        <v>344</v>
      </c>
      <c r="D326" s="146" t="s">
        <v>925</v>
      </c>
      <c r="E326" s="146" t="s">
        <v>231</v>
      </c>
      <c r="F326" s="146" t="s">
        <v>228</v>
      </c>
      <c r="G326" s="146" t="s">
        <v>228</v>
      </c>
      <c r="H326" s="146" t="s">
        <v>228</v>
      </c>
      <c r="I326" s="146" t="s">
        <v>228</v>
      </c>
      <c r="J326" s="146" t="s">
        <v>340</v>
      </c>
      <c r="K326" s="146" t="s">
        <v>235</v>
      </c>
    </row>
    <row r="327" spans="1:11" x14ac:dyDescent="0.25">
      <c r="A327" s="146" t="s">
        <v>938</v>
      </c>
      <c r="B327" s="146" t="s">
        <v>939</v>
      </c>
      <c r="C327" s="146" t="s">
        <v>344</v>
      </c>
      <c r="D327" s="146" t="s">
        <v>925</v>
      </c>
      <c r="E327" s="146" t="s">
        <v>231</v>
      </c>
      <c r="F327" s="146" t="s">
        <v>228</v>
      </c>
      <c r="G327" s="146" t="s">
        <v>228</v>
      </c>
      <c r="H327" s="146" t="s">
        <v>228</v>
      </c>
      <c r="I327" s="146" t="s">
        <v>228</v>
      </c>
      <c r="J327" s="146" t="s">
        <v>340</v>
      </c>
      <c r="K327" s="146" t="s">
        <v>235</v>
      </c>
    </row>
    <row r="328" spans="1:11" x14ac:dyDescent="0.25">
      <c r="A328" s="146" t="s">
        <v>940</v>
      </c>
      <c r="B328" s="146" t="s">
        <v>941</v>
      </c>
      <c r="C328" s="146" t="s">
        <v>344</v>
      </c>
      <c r="D328" s="146" t="s">
        <v>925</v>
      </c>
      <c r="E328" s="146" t="s">
        <v>231</v>
      </c>
      <c r="F328" s="146" t="s">
        <v>228</v>
      </c>
      <c r="G328" s="146" t="s">
        <v>228</v>
      </c>
      <c r="H328" s="146" t="s">
        <v>228</v>
      </c>
      <c r="I328" s="146" t="s">
        <v>228</v>
      </c>
      <c r="J328" s="146" t="s">
        <v>340</v>
      </c>
      <c r="K328" s="146" t="s">
        <v>235</v>
      </c>
    </row>
    <row r="329" spans="1:11" x14ac:dyDescent="0.25">
      <c r="A329" s="146" t="s">
        <v>942</v>
      </c>
      <c r="B329" s="146" t="s">
        <v>943</v>
      </c>
      <c r="C329" s="146" t="s">
        <v>344</v>
      </c>
      <c r="D329" s="146" t="s">
        <v>925</v>
      </c>
      <c r="E329" s="146" t="s">
        <v>231</v>
      </c>
      <c r="F329" s="146" t="s">
        <v>228</v>
      </c>
      <c r="G329" s="146" t="s">
        <v>228</v>
      </c>
      <c r="H329" s="146" t="s">
        <v>228</v>
      </c>
      <c r="I329" s="146" t="s">
        <v>228</v>
      </c>
      <c r="J329" s="146" t="s">
        <v>340</v>
      </c>
      <c r="K329" s="146" t="s">
        <v>235</v>
      </c>
    </row>
    <row r="330" spans="1:11" x14ac:dyDescent="0.25">
      <c r="A330" s="146" t="s">
        <v>944</v>
      </c>
      <c r="B330" s="146" t="s">
        <v>945</v>
      </c>
      <c r="C330" s="146" t="s">
        <v>344</v>
      </c>
      <c r="D330" s="146" t="s">
        <v>925</v>
      </c>
      <c r="E330" s="146" t="s">
        <v>231</v>
      </c>
      <c r="F330" s="146" t="s">
        <v>228</v>
      </c>
      <c r="G330" s="146" t="s">
        <v>228</v>
      </c>
      <c r="H330" s="146" t="s">
        <v>228</v>
      </c>
      <c r="I330" s="146" t="s">
        <v>228</v>
      </c>
      <c r="J330" s="146" t="s">
        <v>340</v>
      </c>
      <c r="K330" s="146" t="s">
        <v>235</v>
      </c>
    </row>
    <row r="331" spans="1:11" x14ac:dyDescent="0.25">
      <c r="A331" s="146" t="s">
        <v>946</v>
      </c>
      <c r="B331" s="146" t="s">
        <v>947</v>
      </c>
      <c r="C331" s="146" t="s">
        <v>344</v>
      </c>
      <c r="D331" s="146" t="s">
        <v>925</v>
      </c>
      <c r="E331" s="146" t="s">
        <v>231</v>
      </c>
      <c r="F331" s="146" t="s">
        <v>228</v>
      </c>
      <c r="G331" s="146" t="s">
        <v>228</v>
      </c>
      <c r="H331" s="146" t="s">
        <v>228</v>
      </c>
      <c r="I331" s="146" t="s">
        <v>228</v>
      </c>
      <c r="J331" s="146" t="s">
        <v>340</v>
      </c>
      <c r="K331" s="146" t="s">
        <v>235</v>
      </c>
    </row>
    <row r="332" spans="1:11" x14ac:dyDescent="0.25">
      <c r="A332" s="146" t="s">
        <v>948</v>
      </c>
      <c r="B332" s="146" t="s">
        <v>949</v>
      </c>
      <c r="C332" s="146" t="s">
        <v>344</v>
      </c>
      <c r="D332" s="146" t="s">
        <v>925</v>
      </c>
      <c r="E332" s="146" t="s">
        <v>231</v>
      </c>
      <c r="F332" s="146" t="s">
        <v>228</v>
      </c>
      <c r="G332" s="146" t="s">
        <v>228</v>
      </c>
      <c r="H332" s="146" t="s">
        <v>228</v>
      </c>
      <c r="I332" s="146" t="s">
        <v>228</v>
      </c>
      <c r="J332" s="146" t="s">
        <v>340</v>
      </c>
      <c r="K332" s="146" t="s">
        <v>235</v>
      </c>
    </row>
    <row r="333" spans="1:11" x14ac:dyDescent="0.25">
      <c r="A333" s="146" t="s">
        <v>950</v>
      </c>
      <c r="B333" s="146" t="s">
        <v>951</v>
      </c>
      <c r="C333" s="146" t="s">
        <v>344</v>
      </c>
      <c r="D333" s="146" t="s">
        <v>925</v>
      </c>
      <c r="E333" s="146" t="s">
        <v>231</v>
      </c>
      <c r="F333" s="146" t="s">
        <v>228</v>
      </c>
      <c r="G333" s="146" t="s">
        <v>228</v>
      </c>
      <c r="H333" s="146" t="s">
        <v>228</v>
      </c>
      <c r="I333" s="146" t="s">
        <v>228</v>
      </c>
      <c r="J333" s="146" t="s">
        <v>340</v>
      </c>
      <c r="K333" s="146" t="s">
        <v>235</v>
      </c>
    </row>
    <row r="334" spans="1:11" x14ac:dyDescent="0.25">
      <c r="A334" s="146" t="s">
        <v>952</v>
      </c>
      <c r="B334" s="146" t="s">
        <v>953</v>
      </c>
      <c r="C334" s="146" t="s">
        <v>344</v>
      </c>
      <c r="D334" s="146" t="s">
        <v>925</v>
      </c>
      <c r="E334" s="146" t="s">
        <v>231</v>
      </c>
      <c r="F334" s="146" t="s">
        <v>228</v>
      </c>
      <c r="G334" s="146" t="s">
        <v>228</v>
      </c>
      <c r="H334" s="146" t="s">
        <v>228</v>
      </c>
      <c r="I334" s="146" t="s">
        <v>228</v>
      </c>
      <c r="J334" s="146" t="s">
        <v>340</v>
      </c>
      <c r="K334" s="146" t="s">
        <v>235</v>
      </c>
    </row>
    <row r="335" spans="1:11" x14ac:dyDescent="0.25">
      <c r="A335" s="146" t="s">
        <v>954</v>
      </c>
      <c r="B335" s="146" t="s">
        <v>955</v>
      </c>
      <c r="C335" s="146" t="s">
        <v>344</v>
      </c>
      <c r="D335" s="146" t="s">
        <v>925</v>
      </c>
      <c r="E335" s="146" t="s">
        <v>231</v>
      </c>
      <c r="F335" s="146" t="s">
        <v>228</v>
      </c>
      <c r="G335" s="146" t="s">
        <v>228</v>
      </c>
      <c r="H335" s="146" t="s">
        <v>228</v>
      </c>
      <c r="I335" s="146" t="s">
        <v>228</v>
      </c>
      <c r="J335" s="146" t="s">
        <v>340</v>
      </c>
      <c r="K335" s="146" t="s">
        <v>235</v>
      </c>
    </row>
    <row r="336" spans="1:11" x14ac:dyDescent="0.25">
      <c r="A336" s="146" t="s">
        <v>956</v>
      </c>
      <c r="B336" s="146" t="s">
        <v>949</v>
      </c>
      <c r="C336" s="146" t="s">
        <v>344</v>
      </c>
      <c r="D336" s="146" t="s">
        <v>925</v>
      </c>
      <c r="E336" s="146" t="s">
        <v>231</v>
      </c>
      <c r="F336" s="146" t="s">
        <v>228</v>
      </c>
      <c r="G336" s="146" t="s">
        <v>228</v>
      </c>
      <c r="H336" s="146" t="s">
        <v>228</v>
      </c>
      <c r="I336" s="146" t="s">
        <v>228</v>
      </c>
      <c r="J336" s="146" t="s">
        <v>340</v>
      </c>
      <c r="K336" s="146" t="s">
        <v>341</v>
      </c>
    </row>
    <row r="337" spans="1:11" x14ac:dyDescent="0.25">
      <c r="A337" s="146" t="s">
        <v>957</v>
      </c>
      <c r="B337" s="146" t="s">
        <v>958</v>
      </c>
      <c r="C337" s="146" t="s">
        <v>344</v>
      </c>
      <c r="D337" s="146" t="s">
        <v>925</v>
      </c>
      <c r="E337" s="146" t="s">
        <v>231</v>
      </c>
      <c r="F337" s="146" t="s">
        <v>228</v>
      </c>
      <c r="G337" s="146" t="s">
        <v>228</v>
      </c>
      <c r="H337" s="146" t="s">
        <v>228</v>
      </c>
      <c r="I337" s="146" t="s">
        <v>228</v>
      </c>
      <c r="J337" s="146" t="s">
        <v>340</v>
      </c>
      <c r="K337" s="146" t="s">
        <v>341</v>
      </c>
    </row>
    <row r="338" spans="1:11" x14ac:dyDescent="0.25">
      <c r="A338" s="146" t="s">
        <v>959</v>
      </c>
      <c r="B338" s="146" t="s">
        <v>960</v>
      </c>
      <c r="C338" s="146" t="s">
        <v>344</v>
      </c>
      <c r="D338" s="146" t="s">
        <v>925</v>
      </c>
      <c r="E338" s="146" t="s">
        <v>231</v>
      </c>
      <c r="F338" s="146" t="s">
        <v>228</v>
      </c>
      <c r="G338" s="146" t="s">
        <v>228</v>
      </c>
      <c r="H338" s="146" t="s">
        <v>228</v>
      </c>
      <c r="I338" s="146" t="s">
        <v>228</v>
      </c>
      <c r="J338" s="146" t="s">
        <v>340</v>
      </c>
      <c r="K338" s="146" t="s">
        <v>235</v>
      </c>
    </row>
    <row r="339" spans="1:11" x14ac:dyDescent="0.25">
      <c r="A339" s="146" t="s">
        <v>961</v>
      </c>
      <c r="B339" s="146" t="s">
        <v>962</v>
      </c>
      <c r="C339" s="146" t="s">
        <v>344</v>
      </c>
      <c r="D339" s="146" t="s">
        <v>925</v>
      </c>
      <c r="E339" s="146" t="s">
        <v>231</v>
      </c>
      <c r="F339" s="146" t="s">
        <v>228</v>
      </c>
      <c r="G339" s="146" t="s">
        <v>228</v>
      </c>
      <c r="H339" s="146" t="s">
        <v>228</v>
      </c>
      <c r="I339" s="146" t="s">
        <v>228</v>
      </c>
      <c r="J339" s="146" t="s">
        <v>340</v>
      </c>
      <c r="K339" s="146" t="s">
        <v>235</v>
      </c>
    </row>
    <row r="340" spans="1:11" x14ac:dyDescent="0.25">
      <c r="A340" s="146" t="s">
        <v>963</v>
      </c>
      <c r="B340" s="146" t="s">
        <v>964</v>
      </c>
      <c r="C340" s="146" t="s">
        <v>344</v>
      </c>
      <c r="D340" s="146" t="s">
        <v>925</v>
      </c>
      <c r="E340" s="146" t="s">
        <v>231</v>
      </c>
      <c r="F340" s="146" t="s">
        <v>228</v>
      </c>
      <c r="G340" s="146" t="s">
        <v>228</v>
      </c>
      <c r="H340" s="146" t="s">
        <v>228</v>
      </c>
      <c r="I340" s="146" t="s">
        <v>228</v>
      </c>
      <c r="J340" s="146" t="s">
        <v>340</v>
      </c>
      <c r="K340" s="146" t="s">
        <v>235</v>
      </c>
    </row>
    <row r="341" spans="1:11" x14ac:dyDescent="0.25">
      <c r="A341" s="146" t="s">
        <v>965</v>
      </c>
      <c r="B341" s="146" t="s">
        <v>966</v>
      </c>
      <c r="C341" s="146" t="s">
        <v>344</v>
      </c>
      <c r="D341" s="146" t="s">
        <v>925</v>
      </c>
      <c r="E341" s="146" t="s">
        <v>231</v>
      </c>
      <c r="F341" s="146" t="s">
        <v>228</v>
      </c>
      <c r="G341" s="146" t="s">
        <v>228</v>
      </c>
      <c r="H341" s="146" t="s">
        <v>228</v>
      </c>
      <c r="I341" s="146" t="s">
        <v>228</v>
      </c>
      <c r="J341" s="146" t="s">
        <v>340</v>
      </c>
      <c r="K341" s="146" t="s">
        <v>235</v>
      </c>
    </row>
    <row r="342" spans="1:11" x14ac:dyDescent="0.25">
      <c r="A342" s="146" t="s">
        <v>967</v>
      </c>
      <c r="B342" s="146" t="s">
        <v>968</v>
      </c>
      <c r="C342" s="146" t="s">
        <v>344</v>
      </c>
      <c r="D342" s="146" t="s">
        <v>925</v>
      </c>
      <c r="E342" s="146" t="s">
        <v>231</v>
      </c>
      <c r="F342" s="146" t="s">
        <v>228</v>
      </c>
      <c r="G342" s="146" t="s">
        <v>228</v>
      </c>
      <c r="H342" s="146" t="s">
        <v>228</v>
      </c>
      <c r="I342" s="146" t="s">
        <v>228</v>
      </c>
      <c r="J342" s="146" t="s">
        <v>340</v>
      </c>
      <c r="K342" s="146" t="s">
        <v>235</v>
      </c>
    </row>
    <row r="343" spans="1:11" x14ac:dyDescent="0.25">
      <c r="A343" s="146" t="s">
        <v>969</v>
      </c>
      <c r="B343" s="146" t="s">
        <v>970</v>
      </c>
      <c r="C343" s="146" t="s">
        <v>344</v>
      </c>
      <c r="D343" s="146" t="s">
        <v>925</v>
      </c>
      <c r="E343" s="146" t="s">
        <v>231</v>
      </c>
      <c r="F343" s="146" t="s">
        <v>228</v>
      </c>
      <c r="G343" s="146" t="s">
        <v>228</v>
      </c>
      <c r="H343" s="146" t="s">
        <v>228</v>
      </c>
      <c r="I343" s="146" t="s">
        <v>228</v>
      </c>
      <c r="J343" s="146" t="s">
        <v>340</v>
      </c>
      <c r="K343" s="146" t="s">
        <v>235</v>
      </c>
    </row>
    <row r="344" spans="1:11" x14ac:dyDescent="0.25">
      <c r="A344" s="146" t="s">
        <v>971</v>
      </c>
      <c r="B344" s="146" t="s">
        <v>972</v>
      </c>
      <c r="C344" s="146" t="s">
        <v>344</v>
      </c>
      <c r="D344" s="146" t="s">
        <v>925</v>
      </c>
      <c r="E344" s="146" t="s">
        <v>231</v>
      </c>
      <c r="F344" s="146" t="s">
        <v>228</v>
      </c>
      <c r="G344" s="146" t="s">
        <v>228</v>
      </c>
      <c r="H344" s="146" t="s">
        <v>228</v>
      </c>
      <c r="I344" s="146" t="s">
        <v>228</v>
      </c>
      <c r="J344" s="146" t="s">
        <v>340</v>
      </c>
      <c r="K344" s="146" t="s">
        <v>235</v>
      </c>
    </row>
    <row r="345" spans="1:11" x14ac:dyDescent="0.25">
      <c r="A345" s="146" t="s">
        <v>973</v>
      </c>
      <c r="B345" s="146" t="s">
        <v>974</v>
      </c>
      <c r="C345" s="146" t="s">
        <v>344</v>
      </c>
      <c r="D345" s="146" t="s">
        <v>925</v>
      </c>
      <c r="E345" s="146" t="s">
        <v>231</v>
      </c>
      <c r="F345" s="146" t="s">
        <v>228</v>
      </c>
      <c r="G345" s="146" t="s">
        <v>228</v>
      </c>
      <c r="H345" s="146" t="s">
        <v>228</v>
      </c>
      <c r="I345" s="146" t="s">
        <v>228</v>
      </c>
      <c r="J345" s="146" t="s">
        <v>340</v>
      </c>
      <c r="K345" s="146" t="s">
        <v>235</v>
      </c>
    </row>
    <row r="346" spans="1:11" x14ac:dyDescent="0.25">
      <c r="A346" s="146" t="s">
        <v>975</v>
      </c>
      <c r="B346" s="146" t="s">
        <v>976</v>
      </c>
      <c r="C346" s="146" t="s">
        <v>344</v>
      </c>
      <c r="D346" s="146" t="s">
        <v>925</v>
      </c>
      <c r="E346" s="146" t="s">
        <v>231</v>
      </c>
      <c r="F346" s="146" t="s">
        <v>228</v>
      </c>
      <c r="G346" s="146" t="s">
        <v>228</v>
      </c>
      <c r="H346" s="146" t="s">
        <v>228</v>
      </c>
      <c r="I346" s="146" t="s">
        <v>228</v>
      </c>
      <c r="J346" s="146" t="s">
        <v>340</v>
      </c>
      <c r="K346" s="146" t="s">
        <v>235</v>
      </c>
    </row>
    <row r="347" spans="1:11" x14ac:dyDescent="0.25">
      <c r="A347" s="146" t="s">
        <v>977</v>
      </c>
      <c r="B347" s="146" t="s">
        <v>978</v>
      </c>
      <c r="C347" s="146" t="s">
        <v>344</v>
      </c>
      <c r="D347" s="146" t="s">
        <v>925</v>
      </c>
      <c r="E347" s="146" t="s">
        <v>231</v>
      </c>
      <c r="F347" s="146" t="s">
        <v>228</v>
      </c>
      <c r="G347" s="146" t="s">
        <v>228</v>
      </c>
      <c r="H347" s="146" t="s">
        <v>228</v>
      </c>
      <c r="I347" s="146" t="s">
        <v>228</v>
      </c>
      <c r="J347" s="146" t="s">
        <v>340</v>
      </c>
      <c r="K347" s="146" t="s">
        <v>341</v>
      </c>
    </row>
    <row r="348" spans="1:11" x14ac:dyDescent="0.25">
      <c r="A348" s="146" t="s">
        <v>979</v>
      </c>
      <c r="B348" s="146" t="s">
        <v>980</v>
      </c>
      <c r="C348" s="146" t="s">
        <v>344</v>
      </c>
      <c r="D348" s="146" t="s">
        <v>925</v>
      </c>
      <c r="E348" s="146" t="s">
        <v>231</v>
      </c>
      <c r="F348" s="146" t="s">
        <v>228</v>
      </c>
      <c r="G348" s="146" t="s">
        <v>228</v>
      </c>
      <c r="H348" s="146" t="s">
        <v>228</v>
      </c>
      <c r="I348" s="146" t="s">
        <v>228</v>
      </c>
      <c r="J348" s="146" t="s">
        <v>340</v>
      </c>
      <c r="K348" s="146" t="s">
        <v>235</v>
      </c>
    </row>
    <row r="349" spans="1:11" x14ac:dyDescent="0.25">
      <c r="A349" s="146" t="s">
        <v>981</v>
      </c>
      <c r="B349" s="146" t="s">
        <v>982</v>
      </c>
      <c r="C349" s="146" t="s">
        <v>344</v>
      </c>
      <c r="D349" s="146" t="s">
        <v>925</v>
      </c>
      <c r="E349" s="146" t="s">
        <v>231</v>
      </c>
      <c r="F349" s="146" t="s">
        <v>228</v>
      </c>
      <c r="G349" s="146" t="s">
        <v>228</v>
      </c>
      <c r="H349" s="146" t="s">
        <v>228</v>
      </c>
      <c r="I349" s="146" t="s">
        <v>228</v>
      </c>
      <c r="J349" s="146" t="s">
        <v>340</v>
      </c>
      <c r="K349" s="146" t="s">
        <v>235</v>
      </c>
    </row>
    <row r="350" spans="1:11" x14ac:dyDescent="0.25">
      <c r="A350" s="146" t="s">
        <v>983</v>
      </c>
      <c r="B350" s="146" t="s">
        <v>984</v>
      </c>
      <c r="C350" s="146" t="s">
        <v>344</v>
      </c>
      <c r="D350" s="146" t="s">
        <v>925</v>
      </c>
      <c r="E350" s="146" t="s">
        <v>231</v>
      </c>
      <c r="F350" s="146" t="s">
        <v>228</v>
      </c>
      <c r="G350" s="146" t="s">
        <v>228</v>
      </c>
      <c r="H350" s="146" t="s">
        <v>228</v>
      </c>
      <c r="I350" s="146" t="s">
        <v>228</v>
      </c>
      <c r="J350" s="146" t="s">
        <v>340</v>
      </c>
      <c r="K350" s="146" t="s">
        <v>235</v>
      </c>
    </row>
    <row r="351" spans="1:11" x14ac:dyDescent="0.25">
      <c r="A351" s="146" t="s">
        <v>985</v>
      </c>
      <c r="B351" s="146" t="s">
        <v>986</v>
      </c>
      <c r="C351" s="146" t="s">
        <v>344</v>
      </c>
      <c r="D351" s="146" t="s">
        <v>925</v>
      </c>
      <c r="E351" s="146" t="s">
        <v>231</v>
      </c>
      <c r="F351" s="146" t="s">
        <v>228</v>
      </c>
      <c r="G351" s="146" t="s">
        <v>228</v>
      </c>
      <c r="H351" s="146" t="s">
        <v>228</v>
      </c>
      <c r="I351" s="146" t="s">
        <v>228</v>
      </c>
      <c r="J351" s="146" t="s">
        <v>340</v>
      </c>
      <c r="K351" s="146" t="s">
        <v>341</v>
      </c>
    </row>
    <row r="352" spans="1:11" x14ac:dyDescent="0.25">
      <c r="A352" s="146" t="s">
        <v>987</v>
      </c>
      <c r="B352" s="146" t="s">
        <v>988</v>
      </c>
      <c r="C352" s="146" t="s">
        <v>344</v>
      </c>
      <c r="D352" s="146" t="s">
        <v>925</v>
      </c>
      <c r="E352" s="146" t="s">
        <v>231</v>
      </c>
      <c r="F352" s="146" t="s">
        <v>228</v>
      </c>
      <c r="G352" s="146" t="s">
        <v>228</v>
      </c>
      <c r="H352" s="146" t="s">
        <v>228</v>
      </c>
      <c r="I352" s="146" t="s">
        <v>228</v>
      </c>
      <c r="J352" s="146" t="s">
        <v>340</v>
      </c>
      <c r="K352" s="146" t="s">
        <v>341</v>
      </c>
    </row>
    <row r="353" spans="1:11" x14ac:dyDescent="0.25">
      <c r="A353" s="146" t="s">
        <v>989</v>
      </c>
      <c r="B353" s="146" t="s">
        <v>990</v>
      </c>
      <c r="C353" s="146" t="s">
        <v>344</v>
      </c>
      <c r="D353" s="146" t="s">
        <v>925</v>
      </c>
      <c r="E353" s="146" t="s">
        <v>231</v>
      </c>
      <c r="F353" s="146" t="s">
        <v>228</v>
      </c>
      <c r="G353" s="146" t="s">
        <v>228</v>
      </c>
      <c r="H353" s="146" t="s">
        <v>228</v>
      </c>
      <c r="I353" s="146" t="s">
        <v>228</v>
      </c>
      <c r="J353" s="146" t="s">
        <v>340</v>
      </c>
      <c r="K353" s="146" t="s">
        <v>341</v>
      </c>
    </row>
    <row r="354" spans="1:11" x14ac:dyDescent="0.25">
      <c r="A354" s="146" t="s">
        <v>991</v>
      </c>
      <c r="B354" s="146" t="s">
        <v>992</v>
      </c>
      <c r="C354" s="146" t="s">
        <v>344</v>
      </c>
      <c r="D354" s="146" t="s">
        <v>925</v>
      </c>
      <c r="E354" s="146" t="s">
        <v>231</v>
      </c>
      <c r="F354" s="146" t="s">
        <v>228</v>
      </c>
      <c r="G354" s="146" t="s">
        <v>228</v>
      </c>
      <c r="H354" s="146" t="s">
        <v>228</v>
      </c>
      <c r="I354" s="146" t="s">
        <v>228</v>
      </c>
      <c r="J354" s="146" t="s">
        <v>340</v>
      </c>
      <c r="K354" s="146" t="s">
        <v>341</v>
      </c>
    </row>
    <row r="355" spans="1:11" x14ac:dyDescent="0.25">
      <c r="A355" s="146" t="s">
        <v>993</v>
      </c>
      <c r="B355" s="146" t="s">
        <v>994</v>
      </c>
      <c r="C355" s="146" t="s">
        <v>344</v>
      </c>
      <c r="D355" s="146" t="s">
        <v>925</v>
      </c>
      <c r="E355" s="146" t="s">
        <v>231</v>
      </c>
      <c r="F355" s="146" t="s">
        <v>228</v>
      </c>
      <c r="G355" s="146" t="s">
        <v>228</v>
      </c>
      <c r="H355" s="146" t="s">
        <v>228</v>
      </c>
      <c r="I355" s="146" t="s">
        <v>228</v>
      </c>
      <c r="J355" s="146" t="s">
        <v>340</v>
      </c>
      <c r="K355" s="146" t="s">
        <v>235</v>
      </c>
    </row>
    <row r="356" spans="1:11" x14ac:dyDescent="0.25">
      <c r="A356" s="146" t="s">
        <v>995</v>
      </c>
      <c r="B356" s="146" t="s">
        <v>996</v>
      </c>
      <c r="C356" s="146" t="s">
        <v>344</v>
      </c>
      <c r="D356" s="146" t="s">
        <v>925</v>
      </c>
      <c r="E356" s="146" t="s">
        <v>231</v>
      </c>
      <c r="F356" s="146" t="s">
        <v>228</v>
      </c>
      <c r="G356" s="146" t="s">
        <v>228</v>
      </c>
      <c r="H356" s="146" t="s">
        <v>228</v>
      </c>
      <c r="I356" s="146" t="s">
        <v>228</v>
      </c>
      <c r="J356" s="146" t="s">
        <v>340</v>
      </c>
      <c r="K356" s="146" t="s">
        <v>341</v>
      </c>
    </row>
    <row r="357" spans="1:11" x14ac:dyDescent="0.25">
      <c r="A357" s="146" t="s">
        <v>997</v>
      </c>
      <c r="B357" s="146" t="s">
        <v>998</v>
      </c>
      <c r="C357" s="146" t="s">
        <v>344</v>
      </c>
      <c r="D357" s="146" t="s">
        <v>925</v>
      </c>
      <c r="E357" s="146" t="s">
        <v>231</v>
      </c>
      <c r="F357" s="146" t="s">
        <v>228</v>
      </c>
      <c r="G357" s="146" t="s">
        <v>228</v>
      </c>
      <c r="H357" s="146" t="s">
        <v>228</v>
      </c>
      <c r="I357" s="146" t="s">
        <v>228</v>
      </c>
      <c r="J357" s="146" t="s">
        <v>340</v>
      </c>
      <c r="K357" s="146" t="s">
        <v>235</v>
      </c>
    </row>
    <row r="358" spans="1:11" x14ac:dyDescent="0.25">
      <c r="A358" s="146" t="s">
        <v>999</v>
      </c>
      <c r="B358" s="146" t="s">
        <v>1000</v>
      </c>
      <c r="C358" s="146" t="s">
        <v>344</v>
      </c>
      <c r="D358" s="146" t="s">
        <v>925</v>
      </c>
      <c r="E358" s="146" t="s">
        <v>231</v>
      </c>
      <c r="F358" s="146" t="s">
        <v>228</v>
      </c>
      <c r="G358" s="146" t="s">
        <v>228</v>
      </c>
      <c r="H358" s="146" t="s">
        <v>228</v>
      </c>
      <c r="I358" s="146" t="s">
        <v>228</v>
      </c>
      <c r="J358" s="146" t="s">
        <v>340</v>
      </c>
      <c r="K358" s="146" t="s">
        <v>235</v>
      </c>
    </row>
    <row r="359" spans="1:11" x14ac:dyDescent="0.25">
      <c r="A359" s="146" t="s">
        <v>1001</v>
      </c>
      <c r="B359" s="146" t="s">
        <v>1002</v>
      </c>
      <c r="C359" s="146" t="s">
        <v>344</v>
      </c>
      <c r="D359" s="146" t="s">
        <v>925</v>
      </c>
      <c r="E359" s="146" t="s">
        <v>231</v>
      </c>
      <c r="F359" s="146" t="s">
        <v>228</v>
      </c>
      <c r="G359" s="146" t="s">
        <v>228</v>
      </c>
      <c r="H359" s="146" t="s">
        <v>228</v>
      </c>
      <c r="I359" s="146" t="s">
        <v>228</v>
      </c>
      <c r="J359" s="146" t="s">
        <v>340</v>
      </c>
      <c r="K359" s="146" t="s">
        <v>235</v>
      </c>
    </row>
    <row r="360" spans="1:11" x14ac:dyDescent="0.25">
      <c r="A360" s="146" t="s">
        <v>1003</v>
      </c>
      <c r="B360" s="146" t="s">
        <v>1004</v>
      </c>
      <c r="C360" s="146" t="s">
        <v>344</v>
      </c>
      <c r="D360" s="146" t="s">
        <v>925</v>
      </c>
      <c r="E360" s="146" t="s">
        <v>231</v>
      </c>
      <c r="F360" s="146" t="s">
        <v>228</v>
      </c>
      <c r="G360" s="146" t="s">
        <v>228</v>
      </c>
      <c r="H360" s="146" t="s">
        <v>228</v>
      </c>
      <c r="I360" s="146" t="s">
        <v>228</v>
      </c>
      <c r="J360" s="146" t="s">
        <v>340</v>
      </c>
      <c r="K360" s="146" t="s">
        <v>235</v>
      </c>
    </row>
    <row r="361" spans="1:11" x14ac:dyDescent="0.25">
      <c r="A361" s="146" t="s">
        <v>1005</v>
      </c>
      <c r="B361" s="146" t="s">
        <v>1006</v>
      </c>
      <c r="C361" s="146" t="s">
        <v>344</v>
      </c>
      <c r="D361" s="146" t="s">
        <v>925</v>
      </c>
      <c r="E361" s="146" t="s">
        <v>231</v>
      </c>
      <c r="F361" s="146" t="s">
        <v>228</v>
      </c>
      <c r="G361" s="146" t="s">
        <v>228</v>
      </c>
      <c r="H361" s="146" t="s">
        <v>228</v>
      </c>
      <c r="I361" s="146" t="s">
        <v>228</v>
      </c>
      <c r="J361" s="146" t="s">
        <v>340</v>
      </c>
      <c r="K361" s="146" t="s">
        <v>235</v>
      </c>
    </row>
    <row r="362" spans="1:11" x14ac:dyDescent="0.25">
      <c r="A362" s="146" t="s">
        <v>1007</v>
      </c>
      <c r="B362" s="146" t="s">
        <v>1008</v>
      </c>
      <c r="C362" s="146" t="s">
        <v>344</v>
      </c>
      <c r="D362" s="146" t="s">
        <v>925</v>
      </c>
      <c r="E362" s="146" t="s">
        <v>231</v>
      </c>
      <c r="F362" s="146" t="s">
        <v>228</v>
      </c>
      <c r="G362" s="146" t="s">
        <v>228</v>
      </c>
      <c r="H362" s="146" t="s">
        <v>228</v>
      </c>
      <c r="I362" s="146" t="s">
        <v>228</v>
      </c>
      <c r="J362" s="146" t="s">
        <v>340</v>
      </c>
      <c r="K362" s="146" t="s">
        <v>341</v>
      </c>
    </row>
    <row r="363" spans="1:11" x14ac:dyDescent="0.25">
      <c r="A363" s="146" t="s">
        <v>1009</v>
      </c>
      <c r="B363" s="146" t="s">
        <v>1010</v>
      </c>
      <c r="C363" s="146" t="s">
        <v>344</v>
      </c>
      <c r="D363" s="146" t="s">
        <v>925</v>
      </c>
      <c r="E363" s="146" t="s">
        <v>231</v>
      </c>
      <c r="F363" s="146" t="s">
        <v>228</v>
      </c>
      <c r="G363" s="146" t="s">
        <v>228</v>
      </c>
      <c r="H363" s="146" t="s">
        <v>228</v>
      </c>
      <c r="I363" s="146" t="s">
        <v>228</v>
      </c>
      <c r="J363" s="146" t="s">
        <v>704</v>
      </c>
      <c r="K363" s="146" t="s">
        <v>341</v>
      </c>
    </row>
    <row r="364" spans="1:11" x14ac:dyDescent="0.25">
      <c r="A364" s="146" t="s">
        <v>1011</v>
      </c>
      <c r="B364" s="146" t="s">
        <v>1012</v>
      </c>
      <c r="C364" s="146" t="s">
        <v>344</v>
      </c>
      <c r="D364" s="146" t="s">
        <v>925</v>
      </c>
      <c r="E364" s="146" t="s">
        <v>231</v>
      </c>
      <c r="F364" s="146" t="s">
        <v>228</v>
      </c>
      <c r="G364" s="146" t="s">
        <v>228</v>
      </c>
      <c r="H364" s="146" t="s">
        <v>228</v>
      </c>
      <c r="I364" s="146" t="s">
        <v>228</v>
      </c>
      <c r="J364" s="146" t="s">
        <v>704</v>
      </c>
      <c r="K364" s="146" t="s">
        <v>341</v>
      </c>
    </row>
    <row r="365" spans="1:11" x14ac:dyDescent="0.25">
      <c r="A365" s="146" t="s">
        <v>1013</v>
      </c>
      <c r="B365" s="146" t="s">
        <v>1014</v>
      </c>
      <c r="C365" s="146" t="s">
        <v>344</v>
      </c>
      <c r="D365" s="146" t="s">
        <v>925</v>
      </c>
      <c r="E365" s="146" t="s">
        <v>231</v>
      </c>
      <c r="F365" s="146" t="s">
        <v>228</v>
      </c>
      <c r="G365" s="146" t="s">
        <v>228</v>
      </c>
      <c r="H365" s="146" t="s">
        <v>228</v>
      </c>
      <c r="I365" s="146" t="s">
        <v>228</v>
      </c>
      <c r="J365" s="146" t="s">
        <v>340</v>
      </c>
      <c r="K365" s="146" t="s">
        <v>235</v>
      </c>
    </row>
    <row r="366" spans="1:11" x14ac:dyDescent="0.25">
      <c r="A366" s="146" t="s">
        <v>1015</v>
      </c>
      <c r="B366" s="146" t="s">
        <v>1016</v>
      </c>
      <c r="C366" s="146" t="s">
        <v>344</v>
      </c>
      <c r="D366" s="146" t="s">
        <v>925</v>
      </c>
      <c r="E366" s="146" t="s">
        <v>231</v>
      </c>
      <c r="F366" s="146" t="s">
        <v>228</v>
      </c>
      <c r="G366" s="146" t="s">
        <v>228</v>
      </c>
      <c r="H366" s="146" t="s">
        <v>228</v>
      </c>
      <c r="I366" s="146" t="s">
        <v>228</v>
      </c>
      <c r="J366" s="146" t="s">
        <v>704</v>
      </c>
      <c r="K366" s="146" t="s">
        <v>341</v>
      </c>
    </row>
    <row r="367" spans="1:11" x14ac:dyDescent="0.25">
      <c r="A367" s="146" t="s">
        <v>1017</v>
      </c>
      <c r="B367" s="146" t="s">
        <v>1018</v>
      </c>
      <c r="C367" s="146" t="s">
        <v>344</v>
      </c>
      <c r="D367" s="146" t="s">
        <v>925</v>
      </c>
      <c r="E367" s="146" t="s">
        <v>231</v>
      </c>
      <c r="F367" s="146" t="s">
        <v>228</v>
      </c>
      <c r="G367" s="146" t="s">
        <v>228</v>
      </c>
      <c r="H367" s="146" t="s">
        <v>228</v>
      </c>
      <c r="I367" s="146" t="s">
        <v>228</v>
      </c>
      <c r="J367" s="146" t="s">
        <v>704</v>
      </c>
      <c r="K367" s="146" t="s">
        <v>235</v>
      </c>
    </row>
    <row r="368" spans="1:11" x14ac:dyDescent="0.25">
      <c r="A368" s="146" t="s">
        <v>1019</v>
      </c>
      <c r="B368" s="146" t="s">
        <v>1020</v>
      </c>
      <c r="C368" s="146" t="s">
        <v>344</v>
      </c>
      <c r="D368" s="146" t="s">
        <v>925</v>
      </c>
      <c r="E368" s="146" t="s">
        <v>231</v>
      </c>
      <c r="F368" s="146" t="s">
        <v>228</v>
      </c>
      <c r="G368" s="146" t="s">
        <v>228</v>
      </c>
      <c r="H368" s="146" t="s">
        <v>228</v>
      </c>
      <c r="I368" s="146" t="s">
        <v>228</v>
      </c>
      <c r="J368" s="146" t="s">
        <v>340</v>
      </c>
      <c r="K368" s="146" t="s">
        <v>235</v>
      </c>
    </row>
    <row r="369" spans="1:11" x14ac:dyDescent="0.25">
      <c r="A369" s="146" t="s">
        <v>1021</v>
      </c>
      <c r="B369" s="146" t="s">
        <v>1022</v>
      </c>
      <c r="C369" s="146" t="s">
        <v>344</v>
      </c>
      <c r="D369" s="146" t="s">
        <v>925</v>
      </c>
      <c r="E369" s="146" t="s">
        <v>231</v>
      </c>
      <c r="F369" s="146" t="s">
        <v>228</v>
      </c>
      <c r="G369" s="146" t="s">
        <v>228</v>
      </c>
      <c r="H369" s="146" t="s">
        <v>228</v>
      </c>
      <c r="I369" s="146" t="s">
        <v>228</v>
      </c>
      <c r="J369" s="146" t="s">
        <v>704</v>
      </c>
      <c r="K369" s="146" t="s">
        <v>341</v>
      </c>
    </row>
    <row r="370" spans="1:11" x14ac:dyDescent="0.25">
      <c r="A370" s="146" t="s">
        <v>1023</v>
      </c>
      <c r="B370" s="146" t="s">
        <v>1024</v>
      </c>
      <c r="C370" s="146" t="s">
        <v>344</v>
      </c>
      <c r="D370" s="146" t="s">
        <v>925</v>
      </c>
      <c r="E370" s="146" t="s">
        <v>231</v>
      </c>
      <c r="F370" s="146" t="s">
        <v>228</v>
      </c>
      <c r="G370" s="146" t="s">
        <v>228</v>
      </c>
      <c r="H370" s="146" t="s">
        <v>228</v>
      </c>
      <c r="I370" s="146" t="s">
        <v>228</v>
      </c>
      <c r="J370" s="146" t="s">
        <v>340</v>
      </c>
      <c r="K370" s="146" t="s">
        <v>341</v>
      </c>
    </row>
    <row r="371" spans="1:11" x14ac:dyDescent="0.25">
      <c r="A371" s="146" t="s">
        <v>1025</v>
      </c>
      <c r="B371" s="146" t="s">
        <v>1026</v>
      </c>
      <c r="C371" s="146" t="s">
        <v>344</v>
      </c>
      <c r="D371" s="146" t="s">
        <v>925</v>
      </c>
      <c r="E371" s="146" t="s">
        <v>231</v>
      </c>
      <c r="F371" s="146" t="s">
        <v>228</v>
      </c>
      <c r="G371" s="146" t="s">
        <v>228</v>
      </c>
      <c r="H371" s="146" t="s">
        <v>228</v>
      </c>
      <c r="I371" s="146" t="s">
        <v>228</v>
      </c>
      <c r="J371" s="146" t="s">
        <v>704</v>
      </c>
      <c r="K371" s="146" t="s">
        <v>341</v>
      </c>
    </row>
    <row r="372" spans="1:11" x14ac:dyDescent="0.25">
      <c r="A372" s="146" t="s">
        <v>1027</v>
      </c>
      <c r="B372" s="146" t="s">
        <v>1028</v>
      </c>
      <c r="C372" s="146" t="s">
        <v>344</v>
      </c>
      <c r="D372" s="146" t="s">
        <v>925</v>
      </c>
      <c r="E372" s="146" t="s">
        <v>231</v>
      </c>
      <c r="F372" s="146" t="s">
        <v>228</v>
      </c>
      <c r="G372" s="146" t="s">
        <v>228</v>
      </c>
      <c r="H372" s="146" t="s">
        <v>228</v>
      </c>
      <c r="I372" s="146" t="s">
        <v>228</v>
      </c>
      <c r="J372" s="146" t="s">
        <v>704</v>
      </c>
      <c r="K372" s="146" t="s">
        <v>235</v>
      </c>
    </row>
    <row r="373" spans="1:11" x14ac:dyDescent="0.25">
      <c r="A373" s="146" t="s">
        <v>1029</v>
      </c>
      <c r="B373" s="146" t="s">
        <v>1030</v>
      </c>
      <c r="C373" s="146" t="s">
        <v>344</v>
      </c>
      <c r="D373" s="146" t="s">
        <v>925</v>
      </c>
      <c r="E373" s="146" t="s">
        <v>231</v>
      </c>
      <c r="F373" s="146" t="s">
        <v>228</v>
      </c>
      <c r="G373" s="146" t="s">
        <v>228</v>
      </c>
      <c r="H373" s="146" t="s">
        <v>228</v>
      </c>
      <c r="I373" s="146" t="s">
        <v>228</v>
      </c>
      <c r="J373" s="146" t="s">
        <v>704</v>
      </c>
      <c r="K373" s="146" t="s">
        <v>235</v>
      </c>
    </row>
    <row r="374" spans="1:11" x14ac:dyDescent="0.25">
      <c r="A374" s="146" t="s">
        <v>1031</v>
      </c>
      <c r="B374" s="146" t="s">
        <v>1032</v>
      </c>
      <c r="C374" s="146" t="s">
        <v>344</v>
      </c>
      <c r="D374" s="146" t="s">
        <v>925</v>
      </c>
      <c r="E374" s="146" t="s">
        <v>231</v>
      </c>
      <c r="F374" s="146" t="s">
        <v>228</v>
      </c>
      <c r="G374" s="146" t="s">
        <v>228</v>
      </c>
      <c r="H374" s="146" t="s">
        <v>228</v>
      </c>
      <c r="I374" s="146" t="s">
        <v>228</v>
      </c>
      <c r="J374" s="146" t="s">
        <v>704</v>
      </c>
      <c r="K374" s="146" t="s">
        <v>235</v>
      </c>
    </row>
    <row r="375" spans="1:11" x14ac:dyDescent="0.25">
      <c r="A375" s="146" t="s">
        <v>1033</v>
      </c>
      <c r="B375" s="146" t="s">
        <v>1034</v>
      </c>
      <c r="C375" s="146" t="s">
        <v>344</v>
      </c>
      <c r="D375" s="146" t="s">
        <v>925</v>
      </c>
      <c r="E375" s="146" t="s">
        <v>231</v>
      </c>
      <c r="F375" s="146" t="s">
        <v>228</v>
      </c>
      <c r="G375" s="146" t="s">
        <v>228</v>
      </c>
      <c r="H375" s="146" t="s">
        <v>228</v>
      </c>
      <c r="I375" s="146" t="s">
        <v>228</v>
      </c>
      <c r="J375" s="146" t="s">
        <v>704</v>
      </c>
      <c r="K375" s="146" t="s">
        <v>235</v>
      </c>
    </row>
    <row r="376" spans="1:11" x14ac:dyDescent="0.25">
      <c r="A376" s="146" t="s">
        <v>1035</v>
      </c>
      <c r="B376" s="146" t="s">
        <v>1036</v>
      </c>
      <c r="C376" s="146" t="s">
        <v>344</v>
      </c>
      <c r="D376" s="146" t="s">
        <v>925</v>
      </c>
      <c r="E376" s="146" t="s">
        <v>231</v>
      </c>
      <c r="F376" s="146" t="s">
        <v>228</v>
      </c>
      <c r="G376" s="146" t="s">
        <v>228</v>
      </c>
      <c r="H376" s="146" t="s">
        <v>228</v>
      </c>
      <c r="I376" s="146" t="s">
        <v>228</v>
      </c>
      <c r="J376" s="146" t="s">
        <v>704</v>
      </c>
      <c r="K376" s="146" t="s">
        <v>235</v>
      </c>
    </row>
    <row r="377" spans="1:11" x14ac:dyDescent="0.25">
      <c r="A377" s="146" t="s">
        <v>1037</v>
      </c>
      <c r="B377" s="146" t="s">
        <v>1038</v>
      </c>
      <c r="C377" s="146" t="s">
        <v>344</v>
      </c>
      <c r="D377" s="146" t="s">
        <v>925</v>
      </c>
      <c r="E377" s="146" t="s">
        <v>231</v>
      </c>
      <c r="F377" s="146" t="s">
        <v>228</v>
      </c>
      <c r="G377" s="146" t="s">
        <v>228</v>
      </c>
      <c r="H377" s="146" t="s">
        <v>228</v>
      </c>
      <c r="I377" s="146" t="s">
        <v>228</v>
      </c>
      <c r="J377" s="146" t="s">
        <v>340</v>
      </c>
      <c r="K377" s="146" t="s">
        <v>341</v>
      </c>
    </row>
    <row r="378" spans="1:11" x14ac:dyDescent="0.25">
      <c r="A378" s="146" t="s">
        <v>1039</v>
      </c>
      <c r="B378" s="146" t="s">
        <v>1040</v>
      </c>
      <c r="C378" s="146" t="s">
        <v>344</v>
      </c>
      <c r="D378" s="146" t="s">
        <v>925</v>
      </c>
      <c r="E378" s="146" t="s">
        <v>231</v>
      </c>
      <c r="F378" s="146" t="s">
        <v>228</v>
      </c>
      <c r="G378" s="146" t="s">
        <v>228</v>
      </c>
      <c r="H378" s="146" t="s">
        <v>228</v>
      </c>
      <c r="I378" s="146" t="s">
        <v>228</v>
      </c>
      <c r="J378" s="146" t="s">
        <v>340</v>
      </c>
      <c r="K378" s="146" t="s">
        <v>341</v>
      </c>
    </row>
    <row r="379" spans="1:11" x14ac:dyDescent="0.25">
      <c r="A379" s="146" t="s">
        <v>1041</v>
      </c>
      <c r="B379" s="146" t="s">
        <v>1042</v>
      </c>
      <c r="C379" s="146" t="s">
        <v>344</v>
      </c>
      <c r="D379" s="146" t="s">
        <v>925</v>
      </c>
      <c r="E379" s="146" t="s">
        <v>231</v>
      </c>
      <c r="F379" s="146" t="s">
        <v>228</v>
      </c>
      <c r="G379" s="146" t="s">
        <v>228</v>
      </c>
      <c r="H379" s="146" t="s">
        <v>228</v>
      </c>
      <c r="I379" s="146" t="s">
        <v>228</v>
      </c>
      <c r="J379" s="146" t="s">
        <v>340</v>
      </c>
      <c r="K379" s="146" t="s">
        <v>341</v>
      </c>
    </row>
    <row r="380" spans="1:11" x14ac:dyDescent="0.25">
      <c r="A380" s="146" t="s">
        <v>1043</v>
      </c>
      <c r="B380" s="146" t="s">
        <v>1044</v>
      </c>
      <c r="C380" s="146" t="s">
        <v>344</v>
      </c>
      <c r="D380" s="146" t="s">
        <v>925</v>
      </c>
      <c r="E380" s="146" t="s">
        <v>231</v>
      </c>
      <c r="F380" s="146" t="s">
        <v>228</v>
      </c>
      <c r="G380" s="146" t="s">
        <v>228</v>
      </c>
      <c r="H380" s="146" t="s">
        <v>228</v>
      </c>
      <c r="I380" s="146" t="s">
        <v>228</v>
      </c>
      <c r="J380" s="146" t="s">
        <v>340</v>
      </c>
      <c r="K380" s="146" t="s">
        <v>341</v>
      </c>
    </row>
    <row r="381" spans="1:11" x14ac:dyDescent="0.25">
      <c r="A381" s="146" t="s">
        <v>1045</v>
      </c>
      <c r="B381" s="146" t="s">
        <v>1046</v>
      </c>
      <c r="C381" s="146" t="s">
        <v>344</v>
      </c>
      <c r="D381" s="146" t="s">
        <v>925</v>
      </c>
      <c r="E381" s="146" t="s">
        <v>231</v>
      </c>
      <c r="F381" s="146" t="s">
        <v>228</v>
      </c>
      <c r="G381" s="146" t="s">
        <v>228</v>
      </c>
      <c r="H381" s="146" t="s">
        <v>228</v>
      </c>
      <c r="I381" s="146" t="s">
        <v>228</v>
      </c>
      <c r="J381" s="146" t="s">
        <v>340</v>
      </c>
      <c r="K381" s="146" t="s">
        <v>341</v>
      </c>
    </row>
    <row r="382" spans="1:11" x14ac:dyDescent="0.25">
      <c r="A382" s="146" t="s">
        <v>1047</v>
      </c>
      <c r="B382" s="146" t="s">
        <v>1048</v>
      </c>
      <c r="C382" s="146" t="s">
        <v>344</v>
      </c>
      <c r="D382" s="146" t="s">
        <v>925</v>
      </c>
      <c r="E382" s="146" t="s">
        <v>231</v>
      </c>
      <c r="F382" s="146" t="s">
        <v>228</v>
      </c>
      <c r="G382" s="146" t="s">
        <v>228</v>
      </c>
      <c r="H382" s="146" t="s">
        <v>228</v>
      </c>
      <c r="I382" s="146" t="s">
        <v>228</v>
      </c>
      <c r="J382" s="146" t="s">
        <v>340</v>
      </c>
      <c r="K382" s="146" t="s">
        <v>341</v>
      </c>
    </row>
    <row r="383" spans="1:11" x14ac:dyDescent="0.25">
      <c r="A383" s="146" t="s">
        <v>1049</v>
      </c>
      <c r="B383" s="146" t="s">
        <v>1050</v>
      </c>
      <c r="C383" s="146" t="s">
        <v>344</v>
      </c>
      <c r="D383" s="146" t="s">
        <v>925</v>
      </c>
      <c r="E383" s="146" t="s">
        <v>231</v>
      </c>
      <c r="F383" s="146" t="s">
        <v>228</v>
      </c>
      <c r="G383" s="146" t="s">
        <v>228</v>
      </c>
      <c r="H383" s="146" t="s">
        <v>228</v>
      </c>
      <c r="I383" s="146" t="s">
        <v>228</v>
      </c>
      <c r="J383" s="146" t="s">
        <v>340</v>
      </c>
      <c r="K383" s="146" t="s">
        <v>235</v>
      </c>
    </row>
    <row r="384" spans="1:11" x14ac:dyDescent="0.25">
      <c r="A384" s="146" t="s">
        <v>1051</v>
      </c>
      <c r="B384" s="146" t="s">
        <v>1052</v>
      </c>
      <c r="C384" s="146" t="s">
        <v>344</v>
      </c>
      <c r="D384" s="146" t="s">
        <v>925</v>
      </c>
      <c r="E384" s="146" t="s">
        <v>231</v>
      </c>
      <c r="F384" s="146" t="s">
        <v>228</v>
      </c>
      <c r="G384" s="146" t="s">
        <v>228</v>
      </c>
      <c r="H384" s="146" t="s">
        <v>228</v>
      </c>
      <c r="I384" s="146" t="s">
        <v>228</v>
      </c>
      <c r="J384" s="146" t="s">
        <v>340</v>
      </c>
      <c r="K384" s="146" t="s">
        <v>341</v>
      </c>
    </row>
    <row r="385" spans="1:11" x14ac:dyDescent="0.25">
      <c r="A385" s="146" t="s">
        <v>1053</v>
      </c>
      <c r="B385" s="146" t="s">
        <v>1054</v>
      </c>
      <c r="C385" s="146" t="s">
        <v>344</v>
      </c>
      <c r="D385" s="146" t="s">
        <v>925</v>
      </c>
      <c r="E385" s="146" t="s">
        <v>231</v>
      </c>
      <c r="F385" s="146" t="s">
        <v>228</v>
      </c>
      <c r="G385" s="146" t="s">
        <v>228</v>
      </c>
      <c r="H385" s="146" t="s">
        <v>228</v>
      </c>
      <c r="I385" s="146" t="s">
        <v>228</v>
      </c>
      <c r="J385" s="146" t="s">
        <v>340</v>
      </c>
      <c r="K385" s="146" t="s">
        <v>341</v>
      </c>
    </row>
    <row r="386" spans="1:11" x14ac:dyDescent="0.25">
      <c r="A386" s="146" t="s">
        <v>1055</v>
      </c>
      <c r="B386" s="146" t="s">
        <v>1056</v>
      </c>
      <c r="C386" s="146" t="s">
        <v>344</v>
      </c>
      <c r="D386" s="146" t="s">
        <v>925</v>
      </c>
      <c r="E386" s="146" t="s">
        <v>231</v>
      </c>
      <c r="F386" s="146" t="s">
        <v>228</v>
      </c>
      <c r="G386" s="146" t="s">
        <v>228</v>
      </c>
      <c r="H386" s="146" t="s">
        <v>228</v>
      </c>
      <c r="I386" s="146" t="s">
        <v>228</v>
      </c>
      <c r="J386" s="146" t="s">
        <v>340</v>
      </c>
      <c r="K386" s="146" t="s">
        <v>341</v>
      </c>
    </row>
    <row r="387" spans="1:11" x14ac:dyDescent="0.25">
      <c r="A387" s="146" t="s">
        <v>1057</v>
      </c>
      <c r="B387" s="146" t="s">
        <v>1058</v>
      </c>
      <c r="C387" s="146" t="s">
        <v>344</v>
      </c>
      <c r="D387" s="146" t="s">
        <v>925</v>
      </c>
      <c r="E387" s="146" t="s">
        <v>231</v>
      </c>
      <c r="F387" s="146" t="s">
        <v>228</v>
      </c>
      <c r="G387" s="146" t="s">
        <v>228</v>
      </c>
      <c r="H387" s="146" t="s">
        <v>228</v>
      </c>
      <c r="I387" s="146" t="s">
        <v>228</v>
      </c>
      <c r="J387" s="146" t="s">
        <v>340</v>
      </c>
      <c r="K387" s="146" t="s">
        <v>235</v>
      </c>
    </row>
    <row r="388" spans="1:11" x14ac:dyDescent="0.25">
      <c r="A388" s="146" t="s">
        <v>1059</v>
      </c>
      <c r="B388" s="146" t="s">
        <v>1060</v>
      </c>
      <c r="C388" s="146" t="s">
        <v>344</v>
      </c>
      <c r="D388" s="146" t="s">
        <v>925</v>
      </c>
      <c r="E388" s="146" t="s">
        <v>231</v>
      </c>
      <c r="F388" s="146" t="s">
        <v>228</v>
      </c>
      <c r="G388" s="146" t="s">
        <v>228</v>
      </c>
      <c r="H388" s="146" t="s">
        <v>228</v>
      </c>
      <c r="I388" s="146" t="s">
        <v>228</v>
      </c>
      <c r="J388" s="146" t="s">
        <v>340</v>
      </c>
      <c r="K388" s="146" t="s">
        <v>235</v>
      </c>
    </row>
    <row r="389" spans="1:11" x14ac:dyDescent="0.25">
      <c r="A389" s="146" t="s">
        <v>1061</v>
      </c>
      <c r="B389" s="146" t="s">
        <v>1062</v>
      </c>
      <c r="C389" s="146" t="s">
        <v>344</v>
      </c>
      <c r="D389" s="146" t="s">
        <v>925</v>
      </c>
      <c r="E389" s="146" t="s">
        <v>231</v>
      </c>
      <c r="F389" s="146" t="s">
        <v>228</v>
      </c>
      <c r="G389" s="146" t="s">
        <v>228</v>
      </c>
      <c r="H389" s="146" t="s">
        <v>228</v>
      </c>
      <c r="I389" s="146" t="s">
        <v>228</v>
      </c>
      <c r="J389" s="146" t="s">
        <v>340</v>
      </c>
      <c r="K389" s="146" t="s">
        <v>235</v>
      </c>
    </row>
    <row r="390" spans="1:11" x14ac:dyDescent="0.25">
      <c r="A390" s="146" t="s">
        <v>1063</v>
      </c>
      <c r="B390" s="146" t="s">
        <v>1064</v>
      </c>
      <c r="C390" s="146" t="s">
        <v>344</v>
      </c>
      <c r="D390" s="146" t="s">
        <v>925</v>
      </c>
      <c r="E390" s="146" t="s">
        <v>231</v>
      </c>
      <c r="F390" s="146" t="s">
        <v>228</v>
      </c>
      <c r="G390" s="146" t="s">
        <v>228</v>
      </c>
      <c r="H390" s="146" t="s">
        <v>228</v>
      </c>
      <c r="I390" s="146" t="s">
        <v>228</v>
      </c>
      <c r="J390" s="146" t="s">
        <v>340</v>
      </c>
      <c r="K390" s="146" t="s">
        <v>341</v>
      </c>
    </row>
    <row r="391" spans="1:11" x14ac:dyDescent="0.25">
      <c r="A391" s="146" t="s">
        <v>1065</v>
      </c>
      <c r="B391" s="146" t="s">
        <v>1066</v>
      </c>
      <c r="C391" s="146" t="s">
        <v>344</v>
      </c>
      <c r="D391" s="146" t="s">
        <v>925</v>
      </c>
      <c r="E391" s="146" t="s">
        <v>231</v>
      </c>
      <c r="F391" s="146" t="s">
        <v>228</v>
      </c>
      <c r="G391" s="146" t="s">
        <v>228</v>
      </c>
      <c r="H391" s="146" t="s">
        <v>228</v>
      </c>
      <c r="I391" s="146" t="s">
        <v>228</v>
      </c>
      <c r="J391" s="146" t="s">
        <v>340</v>
      </c>
      <c r="K391" s="146" t="s">
        <v>341</v>
      </c>
    </row>
    <row r="392" spans="1:11" x14ac:dyDescent="0.25">
      <c r="A392" s="146" t="s">
        <v>1067</v>
      </c>
      <c r="B392" s="146" t="s">
        <v>1068</v>
      </c>
      <c r="C392" s="146" t="s">
        <v>344</v>
      </c>
      <c r="D392" s="146" t="s">
        <v>925</v>
      </c>
      <c r="E392" s="146" t="s">
        <v>231</v>
      </c>
      <c r="F392" s="146" t="s">
        <v>228</v>
      </c>
      <c r="G392" s="146" t="s">
        <v>228</v>
      </c>
      <c r="H392" s="146" t="s">
        <v>228</v>
      </c>
      <c r="I392" s="146" t="s">
        <v>228</v>
      </c>
      <c r="J392" s="146" t="s">
        <v>340</v>
      </c>
      <c r="K392" s="146" t="s">
        <v>341</v>
      </c>
    </row>
    <row r="393" spans="1:11" x14ac:dyDescent="0.25">
      <c r="A393" s="146" t="s">
        <v>1069</v>
      </c>
      <c r="B393" s="146" t="s">
        <v>1070</v>
      </c>
      <c r="C393" s="146" t="s">
        <v>344</v>
      </c>
      <c r="D393" s="146" t="s">
        <v>925</v>
      </c>
      <c r="E393" s="146" t="s">
        <v>231</v>
      </c>
      <c r="F393" s="146" t="s">
        <v>228</v>
      </c>
      <c r="G393" s="146" t="s">
        <v>228</v>
      </c>
      <c r="H393" s="146" t="s">
        <v>228</v>
      </c>
      <c r="I393" s="146" t="s">
        <v>228</v>
      </c>
      <c r="J393" s="146" t="s">
        <v>340</v>
      </c>
      <c r="K393" s="146" t="s">
        <v>235</v>
      </c>
    </row>
    <row r="394" spans="1:11" x14ac:dyDescent="0.25">
      <c r="A394" s="146" t="s">
        <v>1071</v>
      </c>
      <c r="B394" s="146" t="s">
        <v>1072</v>
      </c>
      <c r="C394" s="146" t="s">
        <v>344</v>
      </c>
      <c r="D394" s="146" t="s">
        <v>925</v>
      </c>
      <c r="E394" s="146" t="s">
        <v>231</v>
      </c>
      <c r="F394" s="146" t="s">
        <v>228</v>
      </c>
      <c r="G394" s="146" t="s">
        <v>228</v>
      </c>
      <c r="H394" s="146" t="s">
        <v>228</v>
      </c>
      <c r="I394" s="146" t="s">
        <v>228</v>
      </c>
      <c r="J394" s="146" t="s">
        <v>340</v>
      </c>
      <c r="K394" s="146" t="s">
        <v>235</v>
      </c>
    </row>
    <row r="395" spans="1:11" x14ac:dyDescent="0.25">
      <c r="A395" s="146" t="s">
        <v>1073</v>
      </c>
      <c r="B395" s="146" t="s">
        <v>1074</v>
      </c>
      <c r="C395" s="146" t="s">
        <v>344</v>
      </c>
      <c r="D395" s="146" t="s">
        <v>925</v>
      </c>
      <c r="E395" s="146" t="s">
        <v>231</v>
      </c>
      <c r="F395" s="146" t="s">
        <v>228</v>
      </c>
      <c r="G395" s="146" t="s">
        <v>228</v>
      </c>
      <c r="H395" s="146" t="s">
        <v>228</v>
      </c>
      <c r="I395" s="146" t="s">
        <v>228</v>
      </c>
      <c r="J395" s="146" t="s">
        <v>340</v>
      </c>
      <c r="K395" s="146" t="s">
        <v>235</v>
      </c>
    </row>
    <row r="396" spans="1:11" x14ac:dyDescent="0.25">
      <c r="A396" s="146" t="s">
        <v>1075</v>
      </c>
      <c r="B396" s="146" t="s">
        <v>1076</v>
      </c>
      <c r="C396" s="146" t="s">
        <v>344</v>
      </c>
      <c r="D396" s="146" t="s">
        <v>925</v>
      </c>
      <c r="E396" s="146" t="s">
        <v>231</v>
      </c>
      <c r="F396" s="146" t="s">
        <v>228</v>
      </c>
      <c r="G396" s="146" t="s">
        <v>228</v>
      </c>
      <c r="H396" s="146" t="s">
        <v>228</v>
      </c>
      <c r="I396" s="146" t="s">
        <v>228</v>
      </c>
      <c r="J396" s="146" t="s">
        <v>340</v>
      </c>
      <c r="K396" s="146" t="s">
        <v>235</v>
      </c>
    </row>
    <row r="397" spans="1:11" x14ac:dyDescent="0.25">
      <c r="A397" s="146" t="s">
        <v>1077</v>
      </c>
      <c r="B397" s="146" t="s">
        <v>1078</v>
      </c>
      <c r="C397" s="146" t="s">
        <v>344</v>
      </c>
      <c r="D397" s="146" t="s">
        <v>925</v>
      </c>
      <c r="E397" s="146" t="s">
        <v>231</v>
      </c>
      <c r="F397" s="146" t="s">
        <v>228</v>
      </c>
      <c r="G397" s="146" t="s">
        <v>228</v>
      </c>
      <c r="H397" s="146" t="s">
        <v>228</v>
      </c>
      <c r="I397" s="146" t="s">
        <v>228</v>
      </c>
      <c r="J397" s="146" t="s">
        <v>340</v>
      </c>
      <c r="K397" s="146" t="s">
        <v>341</v>
      </c>
    </row>
    <row r="398" spans="1:11" x14ac:dyDescent="0.25">
      <c r="A398" s="146" t="s">
        <v>1079</v>
      </c>
      <c r="B398" s="146" t="s">
        <v>1080</v>
      </c>
      <c r="C398" s="146" t="s">
        <v>344</v>
      </c>
      <c r="D398" s="146" t="s">
        <v>925</v>
      </c>
      <c r="E398" s="146" t="s">
        <v>231</v>
      </c>
      <c r="F398" s="146" t="s">
        <v>228</v>
      </c>
      <c r="G398" s="146" t="s">
        <v>228</v>
      </c>
      <c r="H398" s="146" t="s">
        <v>228</v>
      </c>
      <c r="I398" s="146" t="s">
        <v>228</v>
      </c>
      <c r="J398" s="146" t="s">
        <v>340</v>
      </c>
      <c r="K398" s="146" t="s">
        <v>341</v>
      </c>
    </row>
    <row r="399" spans="1:11" x14ac:dyDescent="0.25">
      <c r="A399" s="146" t="s">
        <v>1081</v>
      </c>
      <c r="B399" s="146" t="s">
        <v>1082</v>
      </c>
      <c r="C399" s="146" t="s">
        <v>344</v>
      </c>
      <c r="D399" s="146" t="s">
        <v>925</v>
      </c>
      <c r="E399" s="146" t="s">
        <v>231</v>
      </c>
      <c r="F399" s="146" t="s">
        <v>228</v>
      </c>
      <c r="G399" s="146" t="s">
        <v>228</v>
      </c>
      <c r="H399" s="146" t="s">
        <v>228</v>
      </c>
      <c r="I399" s="146" t="s">
        <v>228</v>
      </c>
      <c r="J399" s="146" t="s">
        <v>340</v>
      </c>
      <c r="K399" s="146" t="s">
        <v>341</v>
      </c>
    </row>
    <row r="400" spans="1:11" x14ac:dyDescent="0.25">
      <c r="A400" s="146" t="s">
        <v>1083</v>
      </c>
      <c r="B400" s="146" t="s">
        <v>1084</v>
      </c>
      <c r="C400" s="146" t="s">
        <v>344</v>
      </c>
      <c r="D400" s="146" t="s">
        <v>925</v>
      </c>
      <c r="E400" s="146" t="s">
        <v>231</v>
      </c>
      <c r="F400" s="146" t="s">
        <v>228</v>
      </c>
      <c r="G400" s="146" t="s">
        <v>228</v>
      </c>
      <c r="H400" s="146" t="s">
        <v>228</v>
      </c>
      <c r="I400" s="146" t="s">
        <v>228</v>
      </c>
      <c r="J400" s="146" t="s">
        <v>340</v>
      </c>
      <c r="K400" s="146" t="s">
        <v>341</v>
      </c>
    </row>
    <row r="401" spans="1:11" x14ac:dyDescent="0.25">
      <c r="A401" s="146" t="s">
        <v>1085</v>
      </c>
      <c r="B401" s="146" t="s">
        <v>1086</v>
      </c>
      <c r="C401" s="146" t="s">
        <v>344</v>
      </c>
      <c r="D401" s="146" t="s">
        <v>925</v>
      </c>
      <c r="E401" s="146" t="s">
        <v>231</v>
      </c>
      <c r="F401" s="146" t="s">
        <v>228</v>
      </c>
      <c r="G401" s="146" t="s">
        <v>228</v>
      </c>
      <c r="H401" s="146" t="s">
        <v>228</v>
      </c>
      <c r="I401" s="146" t="s">
        <v>228</v>
      </c>
      <c r="J401" s="146" t="s">
        <v>340</v>
      </c>
      <c r="K401" s="146" t="s">
        <v>341</v>
      </c>
    </row>
    <row r="402" spans="1:11" x14ac:dyDescent="0.25">
      <c r="A402" s="146" t="s">
        <v>1087</v>
      </c>
      <c r="B402" s="146" t="s">
        <v>1088</v>
      </c>
      <c r="C402" s="146" t="s">
        <v>344</v>
      </c>
      <c r="D402" s="146" t="s">
        <v>925</v>
      </c>
      <c r="E402" s="146" t="s">
        <v>231</v>
      </c>
      <c r="F402" s="146" t="s">
        <v>228</v>
      </c>
      <c r="G402" s="146" t="s">
        <v>228</v>
      </c>
      <c r="H402" s="146" t="s">
        <v>228</v>
      </c>
      <c r="I402" s="146" t="s">
        <v>228</v>
      </c>
      <c r="J402" s="146" t="s">
        <v>340</v>
      </c>
      <c r="K402" s="146" t="s">
        <v>341</v>
      </c>
    </row>
    <row r="403" spans="1:11" x14ac:dyDescent="0.25">
      <c r="A403" s="146" t="s">
        <v>1089</v>
      </c>
      <c r="B403" s="146" t="s">
        <v>1090</v>
      </c>
      <c r="C403" s="146" t="s">
        <v>344</v>
      </c>
      <c r="D403" s="146" t="s">
        <v>925</v>
      </c>
      <c r="E403" s="146" t="s">
        <v>231</v>
      </c>
      <c r="F403" s="146" t="s">
        <v>228</v>
      </c>
      <c r="G403" s="146" t="s">
        <v>228</v>
      </c>
      <c r="H403" s="146" t="s">
        <v>228</v>
      </c>
      <c r="I403" s="146" t="s">
        <v>228</v>
      </c>
      <c r="J403" s="146" t="s">
        <v>340</v>
      </c>
      <c r="K403" s="146" t="s">
        <v>235</v>
      </c>
    </row>
    <row r="404" spans="1:11" x14ac:dyDescent="0.25">
      <c r="A404" s="146" t="s">
        <v>1091</v>
      </c>
      <c r="B404" s="146" t="s">
        <v>1092</v>
      </c>
      <c r="C404" s="146" t="s">
        <v>344</v>
      </c>
      <c r="D404" s="146" t="s">
        <v>925</v>
      </c>
      <c r="E404" s="146" t="s">
        <v>231</v>
      </c>
      <c r="F404" s="146" t="s">
        <v>228</v>
      </c>
      <c r="G404" s="146" t="s">
        <v>228</v>
      </c>
      <c r="H404" s="146" t="s">
        <v>228</v>
      </c>
      <c r="I404" s="146" t="s">
        <v>228</v>
      </c>
      <c r="J404" s="146" t="s">
        <v>340</v>
      </c>
      <c r="K404" s="146" t="s">
        <v>235</v>
      </c>
    </row>
    <row r="405" spans="1:11" x14ac:dyDescent="0.25">
      <c r="A405" s="146" t="s">
        <v>1093</v>
      </c>
      <c r="B405" s="146" t="s">
        <v>1094</v>
      </c>
      <c r="C405" s="146" t="s">
        <v>344</v>
      </c>
      <c r="D405" s="146" t="s">
        <v>925</v>
      </c>
      <c r="E405" s="146" t="s">
        <v>231</v>
      </c>
      <c r="F405" s="146" t="s">
        <v>228</v>
      </c>
      <c r="G405" s="146" t="s">
        <v>228</v>
      </c>
      <c r="H405" s="146" t="s">
        <v>228</v>
      </c>
      <c r="I405" s="146" t="s">
        <v>228</v>
      </c>
      <c r="J405" s="146" t="s">
        <v>340</v>
      </c>
      <c r="K405" s="146" t="s">
        <v>235</v>
      </c>
    </row>
    <row r="406" spans="1:11" x14ac:dyDescent="0.25">
      <c r="A406" s="146" t="s">
        <v>1095</v>
      </c>
      <c r="B406" s="146" t="s">
        <v>430</v>
      </c>
      <c r="C406" s="146" t="s">
        <v>355</v>
      </c>
      <c r="D406" s="146" t="s">
        <v>430</v>
      </c>
      <c r="E406" s="146" t="s">
        <v>231</v>
      </c>
      <c r="F406" s="146" t="s">
        <v>228</v>
      </c>
      <c r="G406" s="146" t="s">
        <v>228</v>
      </c>
      <c r="H406" s="146" t="s">
        <v>228</v>
      </c>
      <c r="I406" s="146" t="s">
        <v>228</v>
      </c>
      <c r="J406" s="146" t="s">
        <v>243</v>
      </c>
      <c r="K406" s="146" t="s">
        <v>235</v>
      </c>
    </row>
    <row r="407" spans="1:11" x14ac:dyDescent="0.25">
      <c r="A407" s="146" t="s">
        <v>1096</v>
      </c>
      <c r="B407" s="146" t="s">
        <v>1097</v>
      </c>
      <c r="C407" s="146" t="s">
        <v>355</v>
      </c>
      <c r="D407" s="146" t="s">
        <v>430</v>
      </c>
      <c r="E407" s="146" t="s">
        <v>231</v>
      </c>
      <c r="F407" s="146" t="s">
        <v>228</v>
      </c>
      <c r="G407" s="146" t="s">
        <v>228</v>
      </c>
      <c r="H407" s="146" t="s">
        <v>228</v>
      </c>
      <c r="I407" s="146" t="s">
        <v>228</v>
      </c>
      <c r="J407" s="146" t="s">
        <v>243</v>
      </c>
      <c r="K407" s="146" t="s">
        <v>235</v>
      </c>
    </row>
    <row r="408" spans="1:11" x14ac:dyDescent="0.25">
      <c r="A408" s="146" t="s">
        <v>1098</v>
      </c>
      <c r="B408" s="146" t="s">
        <v>1099</v>
      </c>
      <c r="C408" s="146" t="s">
        <v>355</v>
      </c>
      <c r="D408" s="146" t="s">
        <v>430</v>
      </c>
      <c r="E408" s="146" t="s">
        <v>231</v>
      </c>
      <c r="F408" s="146" t="s">
        <v>228</v>
      </c>
      <c r="G408" s="146" t="s">
        <v>228</v>
      </c>
      <c r="H408" s="146" t="s">
        <v>228</v>
      </c>
      <c r="I408" s="146" t="s">
        <v>228</v>
      </c>
      <c r="J408" s="146" t="s">
        <v>243</v>
      </c>
      <c r="K408" s="146" t="s">
        <v>235</v>
      </c>
    </row>
    <row r="409" spans="1:11" x14ac:dyDescent="0.25">
      <c r="A409" s="146" t="s">
        <v>1100</v>
      </c>
      <c r="B409" s="146" t="s">
        <v>1101</v>
      </c>
      <c r="C409" s="146" t="s">
        <v>355</v>
      </c>
      <c r="D409" s="146" t="s">
        <v>430</v>
      </c>
      <c r="E409" s="146" t="s">
        <v>231</v>
      </c>
      <c r="F409" s="146" t="s">
        <v>228</v>
      </c>
      <c r="G409" s="146" t="s">
        <v>228</v>
      </c>
      <c r="H409" s="146" t="s">
        <v>228</v>
      </c>
      <c r="I409" s="146" t="s">
        <v>228</v>
      </c>
      <c r="J409" s="146" t="s">
        <v>1102</v>
      </c>
      <c r="K409" s="146" t="s">
        <v>235</v>
      </c>
    </row>
    <row r="410" spans="1:11" x14ac:dyDescent="0.25">
      <c r="A410" s="146" t="s">
        <v>1103</v>
      </c>
      <c r="B410" s="146" t="s">
        <v>1101</v>
      </c>
      <c r="C410" s="146" t="s">
        <v>355</v>
      </c>
      <c r="D410" s="146" t="s">
        <v>430</v>
      </c>
      <c r="E410" s="146" t="s">
        <v>231</v>
      </c>
      <c r="F410" s="146" t="s">
        <v>228</v>
      </c>
      <c r="G410" s="146" t="s">
        <v>228</v>
      </c>
      <c r="H410" s="146" t="s">
        <v>228</v>
      </c>
      <c r="I410" s="146" t="s">
        <v>228</v>
      </c>
      <c r="J410" s="146" t="s">
        <v>240</v>
      </c>
      <c r="K410" s="146" t="s">
        <v>341</v>
      </c>
    </row>
    <row r="411" spans="1:11" x14ac:dyDescent="0.25">
      <c r="A411" s="146" t="s">
        <v>1104</v>
      </c>
      <c r="B411" s="146" t="s">
        <v>1105</v>
      </c>
      <c r="C411" s="146" t="s">
        <v>355</v>
      </c>
      <c r="D411" s="146" t="s">
        <v>430</v>
      </c>
      <c r="E411" s="146" t="s">
        <v>231</v>
      </c>
      <c r="F411" s="146" t="s">
        <v>228</v>
      </c>
      <c r="G411" s="146" t="s">
        <v>228</v>
      </c>
      <c r="H411" s="146" t="s">
        <v>228</v>
      </c>
      <c r="I411" s="146" t="s">
        <v>228</v>
      </c>
      <c r="J411" s="146" t="s">
        <v>340</v>
      </c>
      <c r="K411" s="146" t="s">
        <v>235</v>
      </c>
    </row>
    <row r="412" spans="1:11" x14ac:dyDescent="0.25">
      <c r="A412" s="146" t="s">
        <v>1106</v>
      </c>
      <c r="B412" s="146" t="s">
        <v>1107</v>
      </c>
      <c r="C412" s="146" t="s">
        <v>355</v>
      </c>
      <c r="D412" s="146" t="s">
        <v>430</v>
      </c>
      <c r="E412" s="146" t="s">
        <v>231</v>
      </c>
      <c r="F412" s="146" t="s">
        <v>228</v>
      </c>
      <c r="G412" s="146" t="s">
        <v>228</v>
      </c>
      <c r="H412" s="146" t="s">
        <v>228</v>
      </c>
      <c r="I412" s="146" t="s">
        <v>228</v>
      </c>
      <c r="J412" s="146" t="s">
        <v>340</v>
      </c>
      <c r="K412" s="146" t="s">
        <v>235</v>
      </c>
    </row>
    <row r="413" spans="1:11" x14ac:dyDescent="0.25">
      <c r="A413" s="146" t="s">
        <v>1108</v>
      </c>
      <c r="B413" s="146" t="s">
        <v>1109</v>
      </c>
      <c r="C413" s="146" t="s">
        <v>355</v>
      </c>
      <c r="D413" s="146" t="s">
        <v>430</v>
      </c>
      <c r="E413" s="146" t="s">
        <v>231</v>
      </c>
      <c r="F413" s="146" t="s">
        <v>228</v>
      </c>
      <c r="G413" s="146" t="s">
        <v>228</v>
      </c>
      <c r="H413" s="146" t="s">
        <v>228</v>
      </c>
      <c r="I413" s="146" t="s">
        <v>228</v>
      </c>
      <c r="J413" s="146" t="s">
        <v>1110</v>
      </c>
      <c r="K413" s="146" t="s">
        <v>235</v>
      </c>
    </row>
    <row r="414" spans="1:11" x14ac:dyDescent="0.25">
      <c r="A414" s="146" t="s">
        <v>1111</v>
      </c>
      <c r="B414" s="146" t="s">
        <v>1112</v>
      </c>
      <c r="C414" s="146" t="s">
        <v>355</v>
      </c>
      <c r="D414" s="146" t="s">
        <v>430</v>
      </c>
      <c r="E414" s="146" t="s">
        <v>231</v>
      </c>
      <c r="F414" s="146" t="s">
        <v>228</v>
      </c>
      <c r="G414" s="146" t="s">
        <v>228</v>
      </c>
      <c r="H414" s="146" t="s">
        <v>228</v>
      </c>
      <c r="I414" s="146" t="s">
        <v>228</v>
      </c>
      <c r="J414" s="146" t="s">
        <v>243</v>
      </c>
      <c r="K414" s="146" t="s">
        <v>235</v>
      </c>
    </row>
    <row r="415" spans="1:11" x14ac:dyDescent="0.25">
      <c r="A415" s="146" t="s">
        <v>1113</v>
      </c>
      <c r="B415" s="146" t="s">
        <v>1114</v>
      </c>
      <c r="C415" s="146" t="s">
        <v>355</v>
      </c>
      <c r="D415" s="146" t="s">
        <v>430</v>
      </c>
      <c r="E415" s="146" t="s">
        <v>231</v>
      </c>
      <c r="F415" s="146" t="s">
        <v>228</v>
      </c>
      <c r="G415" s="146" t="s">
        <v>228</v>
      </c>
      <c r="H415" s="146" t="s">
        <v>228</v>
      </c>
      <c r="I415" s="146" t="s">
        <v>228</v>
      </c>
      <c r="J415" s="146" t="s">
        <v>240</v>
      </c>
      <c r="K415" s="146" t="s">
        <v>235</v>
      </c>
    </row>
    <row r="416" spans="1:11" x14ac:dyDescent="0.25">
      <c r="A416" s="146" t="s">
        <v>1115</v>
      </c>
      <c r="B416" s="146" t="s">
        <v>1116</v>
      </c>
      <c r="C416" s="146" t="s">
        <v>355</v>
      </c>
      <c r="D416" s="146" t="s">
        <v>430</v>
      </c>
      <c r="E416" s="146" t="s">
        <v>231</v>
      </c>
      <c r="F416" s="146" t="s">
        <v>228</v>
      </c>
      <c r="G416" s="146" t="s">
        <v>228</v>
      </c>
      <c r="H416" s="146" t="s">
        <v>228</v>
      </c>
      <c r="I416" s="146" t="s">
        <v>228</v>
      </c>
      <c r="J416" s="146" t="s">
        <v>240</v>
      </c>
      <c r="K416" s="146" t="s">
        <v>235</v>
      </c>
    </row>
    <row r="417" spans="1:11" x14ac:dyDescent="0.25">
      <c r="A417" s="146" t="s">
        <v>1117</v>
      </c>
      <c r="B417" s="146" t="s">
        <v>1118</v>
      </c>
      <c r="C417" s="146" t="s">
        <v>355</v>
      </c>
      <c r="D417" s="146" t="s">
        <v>430</v>
      </c>
      <c r="E417" s="146" t="s">
        <v>231</v>
      </c>
      <c r="F417" s="146" t="s">
        <v>228</v>
      </c>
      <c r="G417" s="146" t="s">
        <v>228</v>
      </c>
      <c r="H417" s="146" t="s">
        <v>228</v>
      </c>
      <c r="I417" s="146" t="s">
        <v>228</v>
      </c>
      <c r="J417" s="146" t="s">
        <v>240</v>
      </c>
      <c r="K417" s="146" t="s">
        <v>235</v>
      </c>
    </row>
    <row r="418" spans="1:11" x14ac:dyDescent="0.25">
      <c r="A418" s="146" t="s">
        <v>1119</v>
      </c>
      <c r="B418" s="146" t="s">
        <v>1120</v>
      </c>
      <c r="C418" s="146" t="s">
        <v>355</v>
      </c>
      <c r="D418" s="146" t="s">
        <v>430</v>
      </c>
      <c r="E418" s="146" t="s">
        <v>231</v>
      </c>
      <c r="F418" s="146" t="s">
        <v>228</v>
      </c>
      <c r="G418" s="146" t="s">
        <v>228</v>
      </c>
      <c r="H418" s="146" t="s">
        <v>228</v>
      </c>
      <c r="I418" s="146" t="s">
        <v>228</v>
      </c>
      <c r="J418" s="146" t="s">
        <v>240</v>
      </c>
      <c r="K418" s="146" t="s">
        <v>235</v>
      </c>
    </row>
    <row r="419" spans="1:11" x14ac:dyDescent="0.25">
      <c r="A419" s="146" t="s">
        <v>1121</v>
      </c>
      <c r="B419" s="146" t="s">
        <v>1122</v>
      </c>
      <c r="C419" s="146" t="s">
        <v>355</v>
      </c>
      <c r="D419" s="146" t="s">
        <v>430</v>
      </c>
      <c r="E419" s="146" t="s">
        <v>231</v>
      </c>
      <c r="F419" s="146" t="s">
        <v>228</v>
      </c>
      <c r="G419" s="146" t="s">
        <v>228</v>
      </c>
      <c r="H419" s="146" t="s">
        <v>228</v>
      </c>
      <c r="I419" s="146" t="s">
        <v>228</v>
      </c>
      <c r="J419" s="146" t="s">
        <v>240</v>
      </c>
      <c r="K419" s="146" t="s">
        <v>341</v>
      </c>
    </row>
    <row r="420" spans="1:11" x14ac:dyDescent="0.25">
      <c r="A420" s="146" t="s">
        <v>1123</v>
      </c>
      <c r="B420" s="146" t="s">
        <v>1124</v>
      </c>
      <c r="C420" s="146" t="s">
        <v>355</v>
      </c>
      <c r="D420" s="146" t="s">
        <v>430</v>
      </c>
      <c r="E420" s="146" t="s">
        <v>231</v>
      </c>
      <c r="F420" s="146" t="s">
        <v>228</v>
      </c>
      <c r="G420" s="146" t="s">
        <v>228</v>
      </c>
      <c r="H420" s="146" t="s">
        <v>228</v>
      </c>
      <c r="I420" s="146" t="s">
        <v>228</v>
      </c>
      <c r="J420" s="146" t="s">
        <v>240</v>
      </c>
      <c r="K420" s="146" t="s">
        <v>341</v>
      </c>
    </row>
    <row r="421" spans="1:11" x14ac:dyDescent="0.25">
      <c r="A421" s="146" t="s">
        <v>1125</v>
      </c>
      <c r="B421" s="146" t="s">
        <v>1126</v>
      </c>
      <c r="C421" s="146" t="s">
        <v>355</v>
      </c>
      <c r="D421" s="146" t="s">
        <v>430</v>
      </c>
      <c r="E421" s="146" t="s">
        <v>231</v>
      </c>
      <c r="F421" s="146" t="s">
        <v>228</v>
      </c>
      <c r="G421" s="146" t="s">
        <v>228</v>
      </c>
      <c r="H421" s="146" t="s">
        <v>228</v>
      </c>
      <c r="I421" s="146" t="s">
        <v>228</v>
      </c>
      <c r="J421" s="146" t="s">
        <v>240</v>
      </c>
      <c r="K421" s="146" t="s">
        <v>235</v>
      </c>
    </row>
    <row r="422" spans="1:11" x14ac:dyDescent="0.25">
      <c r="A422" s="146" t="s">
        <v>1127</v>
      </c>
      <c r="B422" s="146" t="s">
        <v>1128</v>
      </c>
      <c r="C422" s="146" t="s">
        <v>355</v>
      </c>
      <c r="D422" s="146" t="s">
        <v>430</v>
      </c>
      <c r="E422" s="146" t="s">
        <v>231</v>
      </c>
      <c r="F422" s="146" t="s">
        <v>228</v>
      </c>
      <c r="G422" s="146" t="s">
        <v>228</v>
      </c>
      <c r="H422" s="146" t="s">
        <v>228</v>
      </c>
      <c r="I422" s="146" t="s">
        <v>228</v>
      </c>
      <c r="J422" s="146" t="s">
        <v>1129</v>
      </c>
      <c r="K422" s="146" t="s">
        <v>235</v>
      </c>
    </row>
    <row r="423" spans="1:11" x14ac:dyDescent="0.25">
      <c r="A423" s="146" t="s">
        <v>1130</v>
      </c>
      <c r="B423" s="146" t="s">
        <v>1131</v>
      </c>
      <c r="C423" s="146" t="s">
        <v>355</v>
      </c>
      <c r="D423" s="146" t="s">
        <v>430</v>
      </c>
      <c r="E423" s="146" t="s">
        <v>231</v>
      </c>
      <c r="F423" s="146" t="s">
        <v>228</v>
      </c>
      <c r="G423" s="146" t="s">
        <v>228</v>
      </c>
      <c r="H423" s="146" t="s">
        <v>228</v>
      </c>
      <c r="I423" s="146" t="s">
        <v>228</v>
      </c>
      <c r="J423" s="146" t="s">
        <v>340</v>
      </c>
      <c r="K423" s="146" t="s">
        <v>235</v>
      </c>
    </row>
    <row r="424" spans="1:11" x14ac:dyDescent="0.25">
      <c r="A424" s="146" t="s">
        <v>1132</v>
      </c>
      <c r="B424" s="146" t="s">
        <v>1133</v>
      </c>
      <c r="C424" s="146" t="s">
        <v>355</v>
      </c>
      <c r="D424" s="146" t="s">
        <v>430</v>
      </c>
      <c r="E424" s="146" t="s">
        <v>231</v>
      </c>
      <c r="F424" s="146" t="s">
        <v>228</v>
      </c>
      <c r="G424" s="146" t="s">
        <v>228</v>
      </c>
      <c r="H424" s="146" t="s">
        <v>228</v>
      </c>
      <c r="I424" s="146" t="s">
        <v>228</v>
      </c>
      <c r="J424" s="146" t="s">
        <v>240</v>
      </c>
      <c r="K424" s="146" t="s">
        <v>341</v>
      </c>
    </row>
    <row r="425" spans="1:11" x14ac:dyDescent="0.25">
      <c r="A425" s="146" t="s">
        <v>1134</v>
      </c>
      <c r="B425" s="146" t="s">
        <v>1135</v>
      </c>
      <c r="C425" s="146" t="s">
        <v>355</v>
      </c>
      <c r="D425" s="146" t="s">
        <v>430</v>
      </c>
      <c r="E425" s="146" t="s">
        <v>231</v>
      </c>
      <c r="F425" s="146" t="s">
        <v>228</v>
      </c>
      <c r="G425" s="146" t="s">
        <v>228</v>
      </c>
      <c r="H425" s="146" t="s">
        <v>228</v>
      </c>
      <c r="I425" s="146" t="s">
        <v>228</v>
      </c>
      <c r="J425" s="146" t="s">
        <v>240</v>
      </c>
      <c r="K425" s="146" t="s">
        <v>235</v>
      </c>
    </row>
    <row r="426" spans="1:11" x14ac:dyDescent="0.25">
      <c r="A426" s="146" t="s">
        <v>1136</v>
      </c>
      <c r="B426" s="146" t="s">
        <v>1137</v>
      </c>
      <c r="C426" s="146" t="s">
        <v>355</v>
      </c>
      <c r="D426" s="146" t="s">
        <v>430</v>
      </c>
      <c r="E426" s="146" t="s">
        <v>231</v>
      </c>
      <c r="F426" s="146" t="s">
        <v>228</v>
      </c>
      <c r="G426" s="146" t="s">
        <v>228</v>
      </c>
      <c r="H426" s="146" t="s">
        <v>228</v>
      </c>
      <c r="I426" s="146" t="s">
        <v>228</v>
      </c>
      <c r="J426" s="146" t="s">
        <v>234</v>
      </c>
      <c r="K426" s="146" t="s">
        <v>235</v>
      </c>
    </row>
    <row r="427" spans="1:11" x14ac:dyDescent="0.25">
      <c r="A427" s="146" t="s">
        <v>1138</v>
      </c>
      <c r="B427" s="146" t="s">
        <v>1139</v>
      </c>
      <c r="C427" s="146" t="s">
        <v>355</v>
      </c>
      <c r="D427" s="146" t="s">
        <v>430</v>
      </c>
      <c r="E427" s="146" t="s">
        <v>231</v>
      </c>
      <c r="F427" s="146" t="s">
        <v>228</v>
      </c>
      <c r="G427" s="146" t="s">
        <v>228</v>
      </c>
      <c r="H427" s="146" t="s">
        <v>228</v>
      </c>
      <c r="I427" s="146" t="s">
        <v>228</v>
      </c>
      <c r="J427" s="146" t="s">
        <v>240</v>
      </c>
      <c r="K427" s="146" t="s">
        <v>341</v>
      </c>
    </row>
    <row r="428" spans="1:11" x14ac:dyDescent="0.25">
      <c r="A428" s="146" t="s">
        <v>1140</v>
      </c>
      <c r="B428" s="146" t="s">
        <v>1141</v>
      </c>
      <c r="C428" s="146" t="s">
        <v>355</v>
      </c>
      <c r="D428" s="146" t="s">
        <v>430</v>
      </c>
      <c r="E428" s="146" t="s">
        <v>231</v>
      </c>
      <c r="F428" s="146" t="s">
        <v>228</v>
      </c>
      <c r="G428" s="146" t="s">
        <v>228</v>
      </c>
      <c r="H428" s="146" t="s">
        <v>228</v>
      </c>
      <c r="I428" s="146" t="s">
        <v>228</v>
      </c>
      <c r="J428" s="146" t="s">
        <v>240</v>
      </c>
      <c r="K428" s="146" t="s">
        <v>235</v>
      </c>
    </row>
    <row r="429" spans="1:11" x14ac:dyDescent="0.25">
      <c r="A429" s="146" t="s">
        <v>1142</v>
      </c>
      <c r="B429" s="146" t="s">
        <v>1143</v>
      </c>
      <c r="C429" s="146" t="s">
        <v>355</v>
      </c>
      <c r="D429" s="146" t="s">
        <v>430</v>
      </c>
      <c r="E429" s="146" t="s">
        <v>231</v>
      </c>
      <c r="F429" s="146" t="s">
        <v>228</v>
      </c>
      <c r="G429" s="146" t="s">
        <v>228</v>
      </c>
      <c r="H429" s="146" t="s">
        <v>228</v>
      </c>
      <c r="I429" s="146" t="s">
        <v>228</v>
      </c>
      <c r="J429" s="146" t="s">
        <v>240</v>
      </c>
      <c r="K429" s="146" t="s">
        <v>235</v>
      </c>
    </row>
    <row r="430" spans="1:11" x14ac:dyDescent="0.25">
      <c r="A430" s="146" t="s">
        <v>1144</v>
      </c>
      <c r="B430" s="146" t="s">
        <v>1145</v>
      </c>
      <c r="C430" s="146" t="s">
        <v>355</v>
      </c>
      <c r="D430" s="146" t="s">
        <v>430</v>
      </c>
      <c r="E430" s="146" t="s">
        <v>231</v>
      </c>
      <c r="F430" s="146" t="s">
        <v>228</v>
      </c>
      <c r="G430" s="146" t="s">
        <v>228</v>
      </c>
      <c r="H430" s="146" t="s">
        <v>228</v>
      </c>
      <c r="I430" s="146" t="s">
        <v>228</v>
      </c>
      <c r="J430" s="146" t="s">
        <v>240</v>
      </c>
      <c r="K430" s="146" t="s">
        <v>235</v>
      </c>
    </row>
    <row r="431" spans="1:11" x14ac:dyDescent="0.25">
      <c r="A431" s="146" t="s">
        <v>1146</v>
      </c>
      <c r="B431" s="146" t="s">
        <v>1147</v>
      </c>
      <c r="C431" s="146" t="s">
        <v>355</v>
      </c>
      <c r="D431" s="146" t="s">
        <v>430</v>
      </c>
      <c r="E431" s="146" t="s">
        <v>231</v>
      </c>
      <c r="F431" s="146" t="s">
        <v>228</v>
      </c>
      <c r="G431" s="146" t="s">
        <v>228</v>
      </c>
      <c r="H431" s="146" t="s">
        <v>228</v>
      </c>
      <c r="I431" s="146" t="s">
        <v>228</v>
      </c>
      <c r="J431" s="146" t="s">
        <v>234</v>
      </c>
      <c r="K431" s="146" t="s">
        <v>235</v>
      </c>
    </row>
    <row r="432" spans="1:11" x14ac:dyDescent="0.25">
      <c r="A432" s="146" t="s">
        <v>1148</v>
      </c>
      <c r="B432" s="146" t="s">
        <v>1149</v>
      </c>
      <c r="C432" s="146" t="s">
        <v>355</v>
      </c>
      <c r="D432" s="146" t="s">
        <v>430</v>
      </c>
      <c r="E432" s="146" t="s">
        <v>231</v>
      </c>
      <c r="F432" s="146" t="s">
        <v>228</v>
      </c>
      <c r="G432" s="146" t="s">
        <v>228</v>
      </c>
      <c r="H432" s="146" t="s">
        <v>228</v>
      </c>
      <c r="I432" s="146" t="s">
        <v>228</v>
      </c>
      <c r="J432" s="146" t="s">
        <v>1150</v>
      </c>
      <c r="K432" s="146" t="s">
        <v>235</v>
      </c>
    </row>
    <row r="433" spans="1:11" x14ac:dyDescent="0.25">
      <c r="A433" s="146" t="s">
        <v>1151</v>
      </c>
      <c r="B433" s="146" t="s">
        <v>1152</v>
      </c>
      <c r="C433" s="146" t="s">
        <v>355</v>
      </c>
      <c r="D433" s="146" t="s">
        <v>430</v>
      </c>
      <c r="E433" s="146" t="s">
        <v>231</v>
      </c>
      <c r="F433" s="146" t="s">
        <v>228</v>
      </c>
      <c r="G433" s="146" t="s">
        <v>228</v>
      </c>
      <c r="H433" s="146" t="s">
        <v>228</v>
      </c>
      <c r="I433" s="146" t="s">
        <v>228</v>
      </c>
      <c r="J433" s="146" t="s">
        <v>250</v>
      </c>
      <c r="K433" s="146" t="s">
        <v>235</v>
      </c>
    </row>
    <row r="434" spans="1:11" x14ac:dyDescent="0.25">
      <c r="A434" s="146" t="s">
        <v>1153</v>
      </c>
      <c r="B434" s="146" t="s">
        <v>1154</v>
      </c>
      <c r="C434" s="146" t="s">
        <v>355</v>
      </c>
      <c r="D434" s="146" t="s">
        <v>430</v>
      </c>
      <c r="E434" s="146" t="s">
        <v>231</v>
      </c>
      <c r="F434" s="146" t="s">
        <v>228</v>
      </c>
      <c r="G434" s="146" t="s">
        <v>228</v>
      </c>
      <c r="H434" s="146" t="s">
        <v>228</v>
      </c>
      <c r="I434" s="146" t="s">
        <v>228</v>
      </c>
      <c r="J434" s="146" t="s">
        <v>240</v>
      </c>
      <c r="K434" s="146" t="s">
        <v>235</v>
      </c>
    </row>
    <row r="435" spans="1:11" x14ac:dyDescent="0.25">
      <c r="A435" s="146" t="s">
        <v>1155</v>
      </c>
      <c r="B435" s="146" t="s">
        <v>1156</v>
      </c>
      <c r="C435" s="146" t="s">
        <v>355</v>
      </c>
      <c r="D435" s="146" t="s">
        <v>430</v>
      </c>
      <c r="E435" s="146" t="s">
        <v>231</v>
      </c>
      <c r="F435" s="146" t="s">
        <v>228</v>
      </c>
      <c r="G435" s="146" t="s">
        <v>228</v>
      </c>
      <c r="H435" s="146" t="s">
        <v>228</v>
      </c>
      <c r="I435" s="146" t="s">
        <v>228</v>
      </c>
      <c r="J435" s="146" t="s">
        <v>340</v>
      </c>
      <c r="K435" s="146" t="s">
        <v>235</v>
      </c>
    </row>
    <row r="436" spans="1:11" x14ac:dyDescent="0.25">
      <c r="A436" s="146" t="s">
        <v>1157</v>
      </c>
      <c r="B436" s="146" t="s">
        <v>1158</v>
      </c>
      <c r="C436" s="146" t="s">
        <v>355</v>
      </c>
      <c r="D436" s="146" t="s">
        <v>430</v>
      </c>
      <c r="E436" s="146" t="s">
        <v>231</v>
      </c>
      <c r="F436" s="146" t="s">
        <v>228</v>
      </c>
      <c r="G436" s="146" t="s">
        <v>228</v>
      </c>
      <c r="H436" s="146" t="s">
        <v>228</v>
      </c>
      <c r="I436" s="146" t="s">
        <v>228</v>
      </c>
      <c r="J436" s="146" t="s">
        <v>340</v>
      </c>
      <c r="K436" s="146" t="s">
        <v>235</v>
      </c>
    </row>
    <row r="437" spans="1:11" x14ac:dyDescent="0.25">
      <c r="A437" s="146" t="s">
        <v>1159</v>
      </c>
      <c r="B437" s="146" t="s">
        <v>1160</v>
      </c>
      <c r="C437" s="146" t="s">
        <v>355</v>
      </c>
      <c r="D437" s="146" t="s">
        <v>430</v>
      </c>
      <c r="E437" s="146" t="s">
        <v>231</v>
      </c>
      <c r="F437" s="146" t="s">
        <v>228</v>
      </c>
      <c r="G437" s="146" t="s">
        <v>228</v>
      </c>
      <c r="H437" s="146" t="s">
        <v>228</v>
      </c>
      <c r="I437" s="146" t="s">
        <v>228</v>
      </c>
      <c r="J437" s="146" t="s">
        <v>340</v>
      </c>
      <c r="K437" s="146" t="s">
        <v>235</v>
      </c>
    </row>
    <row r="438" spans="1:11" x14ac:dyDescent="0.25">
      <c r="A438" s="146" t="s">
        <v>1161</v>
      </c>
      <c r="B438" s="146" t="s">
        <v>1162</v>
      </c>
      <c r="C438" s="146" t="s">
        <v>355</v>
      </c>
      <c r="D438" s="146" t="s">
        <v>430</v>
      </c>
      <c r="E438" s="146" t="s">
        <v>231</v>
      </c>
      <c r="F438" s="146" t="s">
        <v>228</v>
      </c>
      <c r="G438" s="146" t="s">
        <v>228</v>
      </c>
      <c r="H438" s="146" t="s">
        <v>228</v>
      </c>
      <c r="I438" s="146" t="s">
        <v>228</v>
      </c>
      <c r="J438" s="146" t="s">
        <v>317</v>
      </c>
      <c r="K438" s="146" t="s">
        <v>235</v>
      </c>
    </row>
    <row r="439" spans="1:11" x14ac:dyDescent="0.25">
      <c r="A439" s="146" t="s">
        <v>1163</v>
      </c>
      <c r="B439" s="146" t="s">
        <v>1164</v>
      </c>
      <c r="C439" s="146" t="s">
        <v>355</v>
      </c>
      <c r="D439" s="146" t="s">
        <v>430</v>
      </c>
      <c r="E439" s="146" t="s">
        <v>231</v>
      </c>
      <c r="F439" s="146" t="s">
        <v>228</v>
      </c>
      <c r="G439" s="146" t="s">
        <v>228</v>
      </c>
      <c r="H439" s="146" t="s">
        <v>228</v>
      </c>
      <c r="I439" s="146" t="s">
        <v>228</v>
      </c>
      <c r="J439" s="146" t="s">
        <v>240</v>
      </c>
      <c r="K439" s="146" t="s">
        <v>235</v>
      </c>
    </row>
    <row r="440" spans="1:11" x14ac:dyDescent="0.25">
      <c r="A440" s="146" t="s">
        <v>1165</v>
      </c>
      <c r="B440" s="146" t="s">
        <v>1166</v>
      </c>
      <c r="C440" s="146" t="s">
        <v>355</v>
      </c>
      <c r="D440" s="146" t="s">
        <v>430</v>
      </c>
      <c r="E440" s="146" t="s">
        <v>231</v>
      </c>
      <c r="F440" s="146" t="s">
        <v>228</v>
      </c>
      <c r="G440" s="146" t="s">
        <v>228</v>
      </c>
      <c r="H440" s="146" t="s">
        <v>228</v>
      </c>
      <c r="I440" s="146" t="s">
        <v>228</v>
      </c>
      <c r="J440" s="146" t="s">
        <v>240</v>
      </c>
      <c r="K440" s="146" t="s">
        <v>235</v>
      </c>
    </row>
    <row r="441" spans="1:11" x14ac:dyDescent="0.25">
      <c r="A441" s="146" t="s">
        <v>1167</v>
      </c>
      <c r="B441" s="146" t="s">
        <v>1168</v>
      </c>
      <c r="C441" s="146" t="s">
        <v>355</v>
      </c>
      <c r="D441" s="146" t="s">
        <v>430</v>
      </c>
      <c r="E441" s="146" t="s">
        <v>231</v>
      </c>
      <c r="F441" s="146" t="s">
        <v>228</v>
      </c>
      <c r="G441" s="146" t="s">
        <v>228</v>
      </c>
      <c r="H441" s="146" t="s">
        <v>228</v>
      </c>
      <c r="I441" s="146" t="s">
        <v>228</v>
      </c>
      <c r="J441" s="146" t="s">
        <v>240</v>
      </c>
      <c r="K441" s="146" t="s">
        <v>235</v>
      </c>
    </row>
    <row r="442" spans="1:11" x14ac:dyDescent="0.25">
      <c r="A442" s="146" t="s">
        <v>1169</v>
      </c>
      <c r="B442" s="146" t="s">
        <v>1170</v>
      </c>
      <c r="C442" s="146" t="s">
        <v>355</v>
      </c>
      <c r="D442" s="146" t="s">
        <v>430</v>
      </c>
      <c r="E442" s="146" t="s">
        <v>231</v>
      </c>
      <c r="F442" s="146" t="s">
        <v>228</v>
      </c>
      <c r="G442" s="146" t="s">
        <v>228</v>
      </c>
      <c r="H442" s="146" t="s">
        <v>228</v>
      </c>
      <c r="I442" s="146" t="s">
        <v>228</v>
      </c>
      <c r="J442" s="146" t="s">
        <v>240</v>
      </c>
      <c r="K442" s="146" t="s">
        <v>235</v>
      </c>
    </row>
    <row r="443" spans="1:11" x14ac:dyDescent="0.25">
      <c r="A443" s="146" t="s">
        <v>1171</v>
      </c>
      <c r="B443" s="146" t="s">
        <v>1172</v>
      </c>
      <c r="C443" s="146" t="s">
        <v>355</v>
      </c>
      <c r="D443" s="146" t="s">
        <v>430</v>
      </c>
      <c r="E443" s="146" t="s">
        <v>231</v>
      </c>
      <c r="F443" s="146" t="s">
        <v>228</v>
      </c>
      <c r="G443" s="146" t="s">
        <v>228</v>
      </c>
      <c r="H443" s="146" t="s">
        <v>228</v>
      </c>
      <c r="I443" s="146" t="s">
        <v>228</v>
      </c>
      <c r="J443" s="146" t="s">
        <v>240</v>
      </c>
      <c r="K443" s="146" t="s">
        <v>235</v>
      </c>
    </row>
    <row r="444" spans="1:11" x14ac:dyDescent="0.25">
      <c r="A444" s="146" t="s">
        <v>1173</v>
      </c>
      <c r="B444" s="146" t="s">
        <v>1174</v>
      </c>
      <c r="C444" s="146" t="s">
        <v>355</v>
      </c>
      <c r="D444" s="146" t="s">
        <v>430</v>
      </c>
      <c r="E444" s="146" t="s">
        <v>231</v>
      </c>
      <c r="F444" s="146" t="s">
        <v>228</v>
      </c>
      <c r="G444" s="146" t="s">
        <v>228</v>
      </c>
      <c r="H444" s="146" t="s">
        <v>228</v>
      </c>
      <c r="I444" s="146" t="s">
        <v>228</v>
      </c>
      <c r="J444" s="146" t="s">
        <v>240</v>
      </c>
      <c r="K444" s="146" t="s">
        <v>235</v>
      </c>
    </row>
    <row r="445" spans="1:11" x14ac:dyDescent="0.25">
      <c r="A445" s="146" t="s">
        <v>1175</v>
      </c>
      <c r="B445" s="146" t="s">
        <v>1176</v>
      </c>
      <c r="C445" s="146" t="s">
        <v>355</v>
      </c>
      <c r="D445" s="146" t="s">
        <v>430</v>
      </c>
      <c r="E445" s="146" t="s">
        <v>231</v>
      </c>
      <c r="F445" s="146" t="s">
        <v>228</v>
      </c>
      <c r="G445" s="146" t="s">
        <v>228</v>
      </c>
      <c r="H445" s="146" t="s">
        <v>228</v>
      </c>
      <c r="I445" s="146" t="s">
        <v>228</v>
      </c>
      <c r="J445" s="146" t="s">
        <v>240</v>
      </c>
      <c r="K445" s="146" t="s">
        <v>235</v>
      </c>
    </row>
    <row r="446" spans="1:11" x14ac:dyDescent="0.25">
      <c r="A446" s="146" t="s">
        <v>1177</v>
      </c>
      <c r="B446" s="146" t="s">
        <v>1178</v>
      </c>
      <c r="C446" s="146" t="s">
        <v>355</v>
      </c>
      <c r="D446" s="146" t="s">
        <v>430</v>
      </c>
      <c r="E446" s="146" t="s">
        <v>231</v>
      </c>
      <c r="F446" s="146" t="s">
        <v>228</v>
      </c>
      <c r="G446" s="146" t="s">
        <v>228</v>
      </c>
      <c r="H446" s="146" t="s">
        <v>228</v>
      </c>
      <c r="I446" s="146" t="s">
        <v>228</v>
      </c>
      <c r="J446" s="146" t="s">
        <v>340</v>
      </c>
      <c r="K446" s="146" t="s">
        <v>235</v>
      </c>
    </row>
    <row r="447" spans="1:11" x14ac:dyDescent="0.25">
      <c r="A447" s="146" t="s">
        <v>1179</v>
      </c>
      <c r="B447" s="146" t="s">
        <v>1180</v>
      </c>
      <c r="C447" s="146" t="s">
        <v>355</v>
      </c>
      <c r="D447" s="146" t="s">
        <v>430</v>
      </c>
      <c r="E447" s="146" t="s">
        <v>231</v>
      </c>
      <c r="F447" s="146" t="s">
        <v>228</v>
      </c>
      <c r="G447" s="146" t="s">
        <v>228</v>
      </c>
      <c r="H447" s="146" t="s">
        <v>228</v>
      </c>
      <c r="I447" s="146" t="s">
        <v>228</v>
      </c>
      <c r="J447" s="146" t="s">
        <v>250</v>
      </c>
      <c r="K447" s="146" t="s">
        <v>235</v>
      </c>
    </row>
    <row r="448" spans="1:11" x14ac:dyDescent="0.25">
      <c r="A448" s="146" t="s">
        <v>1181</v>
      </c>
      <c r="B448" s="146" t="s">
        <v>1182</v>
      </c>
      <c r="C448" s="146" t="s">
        <v>355</v>
      </c>
      <c r="D448" s="146" t="s">
        <v>430</v>
      </c>
      <c r="E448" s="146" t="s">
        <v>231</v>
      </c>
      <c r="F448" s="146" t="s">
        <v>228</v>
      </c>
      <c r="G448" s="146" t="s">
        <v>228</v>
      </c>
      <c r="H448" s="146" t="s">
        <v>228</v>
      </c>
      <c r="I448" s="146" t="s">
        <v>228</v>
      </c>
      <c r="J448" s="146" t="s">
        <v>240</v>
      </c>
      <c r="K448" s="146" t="s">
        <v>235</v>
      </c>
    </row>
    <row r="449" spans="1:11" x14ac:dyDescent="0.25">
      <c r="A449" s="146" t="s">
        <v>1183</v>
      </c>
      <c r="B449" s="146" t="s">
        <v>1184</v>
      </c>
      <c r="C449" s="146" t="s">
        <v>355</v>
      </c>
      <c r="D449" s="146" t="s">
        <v>430</v>
      </c>
      <c r="E449" s="146" t="s">
        <v>231</v>
      </c>
      <c r="F449" s="146" t="s">
        <v>228</v>
      </c>
      <c r="G449" s="146" t="s">
        <v>228</v>
      </c>
      <c r="H449" s="146" t="s">
        <v>228</v>
      </c>
      <c r="I449" s="146" t="s">
        <v>228</v>
      </c>
      <c r="J449" s="146" t="s">
        <v>240</v>
      </c>
      <c r="K449" s="146" t="s">
        <v>235</v>
      </c>
    </row>
    <row r="450" spans="1:11" x14ac:dyDescent="0.25">
      <c r="A450" s="146" t="s">
        <v>1185</v>
      </c>
      <c r="B450" s="146" t="s">
        <v>1186</v>
      </c>
      <c r="C450" s="146" t="s">
        <v>355</v>
      </c>
      <c r="D450" s="146" t="s">
        <v>430</v>
      </c>
      <c r="E450" s="146" t="s">
        <v>231</v>
      </c>
      <c r="F450" s="146" t="s">
        <v>228</v>
      </c>
      <c r="G450" s="146" t="s">
        <v>228</v>
      </c>
      <c r="H450" s="146" t="s">
        <v>228</v>
      </c>
      <c r="I450" s="146" t="s">
        <v>228</v>
      </c>
      <c r="J450" s="146" t="s">
        <v>240</v>
      </c>
      <c r="K450" s="146" t="s">
        <v>235</v>
      </c>
    </row>
    <row r="451" spans="1:11" x14ac:dyDescent="0.25">
      <c r="A451" s="146" t="s">
        <v>1187</v>
      </c>
      <c r="B451" s="146" t="s">
        <v>1188</v>
      </c>
      <c r="C451" s="146" t="s">
        <v>355</v>
      </c>
      <c r="D451" s="146" t="s">
        <v>430</v>
      </c>
      <c r="E451" s="146" t="s">
        <v>231</v>
      </c>
      <c r="F451" s="146" t="s">
        <v>228</v>
      </c>
      <c r="G451" s="146" t="s">
        <v>228</v>
      </c>
      <c r="H451" s="146" t="s">
        <v>228</v>
      </c>
      <c r="I451" s="146" t="s">
        <v>228</v>
      </c>
      <c r="J451" s="146" t="s">
        <v>240</v>
      </c>
      <c r="K451" s="146" t="s">
        <v>235</v>
      </c>
    </row>
    <row r="452" spans="1:11" x14ac:dyDescent="0.25">
      <c r="A452" s="146" t="s">
        <v>1189</v>
      </c>
      <c r="B452" s="146" t="s">
        <v>1190</v>
      </c>
      <c r="C452" s="146" t="s">
        <v>355</v>
      </c>
      <c r="D452" s="146" t="s">
        <v>430</v>
      </c>
      <c r="E452" s="146" t="s">
        <v>231</v>
      </c>
      <c r="F452" s="146" t="s">
        <v>228</v>
      </c>
      <c r="G452" s="146" t="s">
        <v>228</v>
      </c>
      <c r="H452" s="146" t="s">
        <v>228</v>
      </c>
      <c r="I452" s="146" t="s">
        <v>228</v>
      </c>
      <c r="J452" s="146" t="s">
        <v>240</v>
      </c>
      <c r="K452" s="146" t="s">
        <v>235</v>
      </c>
    </row>
    <row r="453" spans="1:11" x14ac:dyDescent="0.25">
      <c r="A453" s="146" t="s">
        <v>1191</v>
      </c>
      <c r="B453" s="146" t="s">
        <v>1192</v>
      </c>
      <c r="C453" s="146" t="s">
        <v>355</v>
      </c>
      <c r="D453" s="146" t="s">
        <v>430</v>
      </c>
      <c r="E453" s="146" t="s">
        <v>231</v>
      </c>
      <c r="F453" s="146" t="s">
        <v>228</v>
      </c>
      <c r="G453" s="146" t="s">
        <v>228</v>
      </c>
      <c r="H453" s="146" t="s">
        <v>228</v>
      </c>
      <c r="I453" s="146" t="s">
        <v>228</v>
      </c>
      <c r="J453" s="146" t="s">
        <v>240</v>
      </c>
      <c r="K453" s="146" t="s">
        <v>235</v>
      </c>
    </row>
    <row r="454" spans="1:11" x14ac:dyDescent="0.25">
      <c r="A454" s="146" t="s">
        <v>1193</v>
      </c>
      <c r="B454" s="146" t="s">
        <v>1194</v>
      </c>
      <c r="C454" s="146" t="s">
        <v>355</v>
      </c>
      <c r="D454" s="146" t="s">
        <v>430</v>
      </c>
      <c r="E454" s="146" t="s">
        <v>231</v>
      </c>
      <c r="F454" s="146" t="s">
        <v>228</v>
      </c>
      <c r="G454" s="146" t="s">
        <v>228</v>
      </c>
      <c r="H454" s="146" t="s">
        <v>228</v>
      </c>
      <c r="I454" s="146" t="s">
        <v>228</v>
      </c>
      <c r="J454" s="146" t="s">
        <v>240</v>
      </c>
      <c r="K454" s="146" t="s">
        <v>235</v>
      </c>
    </row>
    <row r="455" spans="1:11" x14ac:dyDescent="0.25">
      <c r="A455" s="146" t="s">
        <v>1195</v>
      </c>
      <c r="B455" s="146" t="s">
        <v>1196</v>
      </c>
      <c r="C455" s="146" t="s">
        <v>355</v>
      </c>
      <c r="D455" s="146" t="s">
        <v>430</v>
      </c>
      <c r="E455" s="146" t="s">
        <v>231</v>
      </c>
      <c r="F455" s="146" t="s">
        <v>228</v>
      </c>
      <c r="G455" s="146" t="s">
        <v>228</v>
      </c>
      <c r="H455" s="146" t="s">
        <v>228</v>
      </c>
      <c r="I455" s="146" t="s">
        <v>228</v>
      </c>
      <c r="J455" s="146" t="s">
        <v>250</v>
      </c>
      <c r="K455" s="146" t="s">
        <v>235</v>
      </c>
    </row>
    <row r="456" spans="1:11" x14ac:dyDescent="0.25">
      <c r="A456" s="146" t="s">
        <v>1197</v>
      </c>
      <c r="B456" s="146" t="s">
        <v>1198</v>
      </c>
      <c r="C456" s="146" t="s">
        <v>355</v>
      </c>
      <c r="D456" s="146" t="s">
        <v>430</v>
      </c>
      <c r="E456" s="146" t="s">
        <v>231</v>
      </c>
      <c r="F456" s="146" t="s">
        <v>228</v>
      </c>
      <c r="G456" s="146" t="s">
        <v>228</v>
      </c>
      <c r="H456" s="146" t="s">
        <v>228</v>
      </c>
      <c r="I456" s="146" t="s">
        <v>228</v>
      </c>
      <c r="J456" s="146" t="s">
        <v>250</v>
      </c>
      <c r="K456" s="146" t="s">
        <v>235</v>
      </c>
    </row>
    <row r="457" spans="1:11" x14ac:dyDescent="0.25">
      <c r="A457" s="146" t="s">
        <v>1199</v>
      </c>
      <c r="B457" s="146" t="s">
        <v>1200</v>
      </c>
      <c r="C457" s="146" t="s">
        <v>355</v>
      </c>
      <c r="D457" s="146" t="s">
        <v>430</v>
      </c>
      <c r="E457" s="146" t="s">
        <v>231</v>
      </c>
      <c r="F457" s="146" t="s">
        <v>228</v>
      </c>
      <c r="G457" s="146" t="s">
        <v>228</v>
      </c>
      <c r="H457" s="146" t="s">
        <v>228</v>
      </c>
      <c r="I457" s="146" t="s">
        <v>228</v>
      </c>
      <c r="J457" s="146" t="s">
        <v>250</v>
      </c>
      <c r="K457" s="146" t="s">
        <v>235</v>
      </c>
    </row>
    <row r="458" spans="1:11" x14ac:dyDescent="0.25">
      <c r="A458" s="146" t="s">
        <v>1201</v>
      </c>
      <c r="B458" s="146" t="s">
        <v>1202</v>
      </c>
      <c r="C458" s="146" t="s">
        <v>355</v>
      </c>
      <c r="D458" s="146" t="s">
        <v>430</v>
      </c>
      <c r="E458" s="146" t="s">
        <v>231</v>
      </c>
      <c r="F458" s="146" t="s">
        <v>228</v>
      </c>
      <c r="G458" s="146" t="s">
        <v>228</v>
      </c>
      <c r="H458" s="146" t="s">
        <v>228</v>
      </c>
      <c r="I458" s="146" t="s">
        <v>228</v>
      </c>
      <c r="J458" s="146" t="s">
        <v>240</v>
      </c>
      <c r="K458" s="146" t="s">
        <v>235</v>
      </c>
    </row>
    <row r="459" spans="1:11" x14ac:dyDescent="0.25">
      <c r="A459" s="146" t="s">
        <v>1203</v>
      </c>
      <c r="B459" s="146" t="s">
        <v>1204</v>
      </c>
      <c r="C459" s="146" t="s">
        <v>355</v>
      </c>
      <c r="D459" s="146" t="s">
        <v>430</v>
      </c>
      <c r="E459" s="146" t="s">
        <v>231</v>
      </c>
      <c r="F459" s="146" t="s">
        <v>228</v>
      </c>
      <c r="G459" s="146" t="s">
        <v>228</v>
      </c>
      <c r="H459" s="146" t="s">
        <v>228</v>
      </c>
      <c r="I459" s="146" t="s">
        <v>228</v>
      </c>
      <c r="J459" s="146" t="s">
        <v>250</v>
      </c>
      <c r="K459" s="146" t="s">
        <v>235</v>
      </c>
    </row>
    <row r="460" spans="1:11" x14ac:dyDescent="0.25">
      <c r="A460" s="146" t="s">
        <v>1205</v>
      </c>
      <c r="B460" s="146" t="s">
        <v>1206</v>
      </c>
      <c r="C460" s="146" t="s">
        <v>355</v>
      </c>
      <c r="D460" s="146" t="s">
        <v>430</v>
      </c>
      <c r="E460" s="146" t="s">
        <v>231</v>
      </c>
      <c r="F460" s="146" t="s">
        <v>228</v>
      </c>
      <c r="G460" s="146" t="s">
        <v>228</v>
      </c>
      <c r="H460" s="146" t="s">
        <v>228</v>
      </c>
      <c r="I460" s="146" t="s">
        <v>228</v>
      </c>
      <c r="J460" s="146" t="s">
        <v>240</v>
      </c>
      <c r="K460" s="146" t="s">
        <v>235</v>
      </c>
    </row>
    <row r="461" spans="1:11" x14ac:dyDescent="0.25">
      <c r="A461" s="146" t="s">
        <v>1207</v>
      </c>
      <c r="B461" s="146" t="s">
        <v>1208</v>
      </c>
      <c r="C461" s="146" t="s">
        <v>355</v>
      </c>
      <c r="D461" s="146" t="s">
        <v>430</v>
      </c>
      <c r="E461" s="146" t="s">
        <v>231</v>
      </c>
      <c r="F461" s="146" t="s">
        <v>228</v>
      </c>
      <c r="G461" s="146" t="s">
        <v>228</v>
      </c>
      <c r="H461" s="146" t="s">
        <v>228</v>
      </c>
      <c r="I461" s="146" t="s">
        <v>228</v>
      </c>
      <c r="J461" s="146" t="s">
        <v>340</v>
      </c>
      <c r="K461" s="146" t="s">
        <v>235</v>
      </c>
    </row>
    <row r="462" spans="1:11" x14ac:dyDescent="0.25">
      <c r="A462" s="146" t="s">
        <v>1209</v>
      </c>
      <c r="B462" s="146" t="s">
        <v>1210</v>
      </c>
      <c r="C462" s="146" t="s">
        <v>355</v>
      </c>
      <c r="D462" s="146" t="s">
        <v>430</v>
      </c>
      <c r="E462" s="146" t="s">
        <v>231</v>
      </c>
      <c r="F462" s="146" t="s">
        <v>228</v>
      </c>
      <c r="G462" s="146" t="s">
        <v>228</v>
      </c>
      <c r="H462" s="146" t="s">
        <v>228</v>
      </c>
      <c r="I462" s="146" t="s">
        <v>228</v>
      </c>
      <c r="J462" s="146" t="s">
        <v>425</v>
      </c>
      <c r="K462" s="146" t="s">
        <v>341</v>
      </c>
    </row>
    <row r="463" spans="1:11" x14ac:dyDescent="0.25">
      <c r="A463" s="146" t="s">
        <v>1211</v>
      </c>
      <c r="B463" s="146" t="s">
        <v>1212</v>
      </c>
      <c r="C463" s="146" t="s">
        <v>355</v>
      </c>
      <c r="D463" s="146" t="s">
        <v>430</v>
      </c>
      <c r="E463" s="146" t="s">
        <v>231</v>
      </c>
      <c r="F463" s="146" t="s">
        <v>228</v>
      </c>
      <c r="G463" s="146" t="s">
        <v>228</v>
      </c>
      <c r="H463" s="146" t="s">
        <v>228</v>
      </c>
      <c r="I463" s="146" t="s">
        <v>228</v>
      </c>
      <c r="J463" s="146" t="s">
        <v>240</v>
      </c>
      <c r="K463" s="146" t="s">
        <v>341</v>
      </c>
    </row>
    <row r="464" spans="1:11" x14ac:dyDescent="0.25">
      <c r="A464" s="146" t="s">
        <v>1213</v>
      </c>
      <c r="B464" s="146" t="s">
        <v>1214</v>
      </c>
      <c r="C464" s="146" t="s">
        <v>355</v>
      </c>
      <c r="D464" s="146" t="s">
        <v>430</v>
      </c>
      <c r="E464" s="146" t="s">
        <v>231</v>
      </c>
      <c r="F464" s="146" t="s">
        <v>228</v>
      </c>
      <c r="G464" s="146" t="s">
        <v>228</v>
      </c>
      <c r="H464" s="146" t="s">
        <v>228</v>
      </c>
      <c r="I464" s="146" t="s">
        <v>228</v>
      </c>
      <c r="J464" s="146" t="s">
        <v>240</v>
      </c>
      <c r="K464" s="146" t="s">
        <v>235</v>
      </c>
    </row>
    <row r="465" spans="1:11" x14ac:dyDescent="0.25">
      <c r="A465" s="146" t="s">
        <v>1215</v>
      </c>
      <c r="B465" s="146" t="s">
        <v>1216</v>
      </c>
      <c r="C465" s="146" t="s">
        <v>355</v>
      </c>
      <c r="D465" s="146" t="s">
        <v>430</v>
      </c>
      <c r="E465" s="146" t="s">
        <v>231</v>
      </c>
      <c r="F465" s="146" t="s">
        <v>228</v>
      </c>
      <c r="G465" s="146" t="s">
        <v>228</v>
      </c>
      <c r="H465" s="146" t="s">
        <v>228</v>
      </c>
      <c r="I465" s="146" t="s">
        <v>228</v>
      </c>
      <c r="J465" s="146" t="s">
        <v>340</v>
      </c>
      <c r="K465" s="146" t="s">
        <v>235</v>
      </c>
    </row>
    <row r="466" spans="1:11" x14ac:dyDescent="0.25">
      <c r="A466" s="146" t="s">
        <v>1217</v>
      </c>
      <c r="B466" s="146" t="s">
        <v>1218</v>
      </c>
      <c r="C466" s="146" t="s">
        <v>355</v>
      </c>
      <c r="D466" s="146" t="s">
        <v>430</v>
      </c>
      <c r="E466" s="146" t="s">
        <v>231</v>
      </c>
      <c r="F466" s="146" t="s">
        <v>228</v>
      </c>
      <c r="G466" s="146" t="s">
        <v>228</v>
      </c>
      <c r="H466" s="146" t="s">
        <v>228</v>
      </c>
      <c r="I466" s="146" t="s">
        <v>228</v>
      </c>
      <c r="J466" s="146" t="s">
        <v>340</v>
      </c>
      <c r="K466" s="146" t="s">
        <v>235</v>
      </c>
    </row>
    <row r="467" spans="1:11" x14ac:dyDescent="0.25">
      <c r="A467" s="146" t="s">
        <v>1219</v>
      </c>
      <c r="B467" s="146" t="s">
        <v>1220</v>
      </c>
      <c r="C467" s="146" t="s">
        <v>332</v>
      </c>
      <c r="D467" s="146" t="s">
        <v>333</v>
      </c>
      <c r="E467" s="146" t="s">
        <v>231</v>
      </c>
      <c r="F467" s="146" t="s">
        <v>228</v>
      </c>
      <c r="G467" s="146" t="s">
        <v>228</v>
      </c>
      <c r="H467" s="146" t="s">
        <v>228</v>
      </c>
      <c r="I467" s="146" t="s">
        <v>228</v>
      </c>
      <c r="J467" s="146" t="s">
        <v>523</v>
      </c>
      <c r="K467" s="146" t="s">
        <v>235</v>
      </c>
    </row>
    <row r="468" spans="1:11" x14ac:dyDescent="0.25">
      <c r="A468" s="146" t="s">
        <v>1221</v>
      </c>
      <c r="B468" s="146" t="s">
        <v>1222</v>
      </c>
      <c r="C468" s="146" t="s">
        <v>332</v>
      </c>
      <c r="D468" s="146" t="s">
        <v>333</v>
      </c>
      <c r="E468" s="146" t="s">
        <v>231</v>
      </c>
      <c r="F468" s="146" t="s">
        <v>228</v>
      </c>
      <c r="G468" s="146" t="s">
        <v>228</v>
      </c>
      <c r="H468" s="146" t="s">
        <v>228</v>
      </c>
      <c r="I468" s="146" t="s">
        <v>228</v>
      </c>
      <c r="J468" s="146" t="s">
        <v>523</v>
      </c>
      <c r="K468" s="146" t="s">
        <v>235</v>
      </c>
    </row>
    <row r="469" spans="1:11" x14ac:dyDescent="0.25">
      <c r="A469" s="146" t="s">
        <v>1223</v>
      </c>
      <c r="B469" s="146" t="s">
        <v>1224</v>
      </c>
      <c r="C469" s="146" t="s">
        <v>332</v>
      </c>
      <c r="D469" s="146" t="s">
        <v>333</v>
      </c>
      <c r="E469" s="146" t="s">
        <v>231</v>
      </c>
      <c r="F469" s="146" t="s">
        <v>228</v>
      </c>
      <c r="G469" s="146" t="s">
        <v>228</v>
      </c>
      <c r="H469" s="146" t="s">
        <v>228</v>
      </c>
      <c r="I469" s="146" t="s">
        <v>228</v>
      </c>
      <c r="J469" s="146" t="s">
        <v>523</v>
      </c>
      <c r="K469" s="146" t="s">
        <v>235</v>
      </c>
    </row>
    <row r="470" spans="1:11" x14ac:dyDescent="0.25">
      <c r="A470" s="146" t="s">
        <v>1225</v>
      </c>
      <c r="B470" s="146" t="s">
        <v>1226</v>
      </c>
      <c r="C470" s="146" t="s">
        <v>332</v>
      </c>
      <c r="D470" s="146" t="s">
        <v>333</v>
      </c>
      <c r="E470" s="146" t="s">
        <v>231</v>
      </c>
      <c r="F470" s="146" t="s">
        <v>228</v>
      </c>
      <c r="G470" s="146" t="s">
        <v>228</v>
      </c>
      <c r="H470" s="146" t="s">
        <v>228</v>
      </c>
      <c r="I470" s="146" t="s">
        <v>228</v>
      </c>
      <c r="J470" s="146" t="s">
        <v>523</v>
      </c>
      <c r="K470" s="146" t="s">
        <v>235</v>
      </c>
    </row>
    <row r="471" spans="1:11" x14ac:dyDescent="0.25">
      <c r="A471" s="146" t="s">
        <v>1227</v>
      </c>
      <c r="B471" s="146" t="s">
        <v>1228</v>
      </c>
      <c r="C471" s="146" t="s">
        <v>332</v>
      </c>
      <c r="D471" s="146" t="s">
        <v>333</v>
      </c>
      <c r="E471" s="146" t="s">
        <v>231</v>
      </c>
      <c r="F471" s="146" t="s">
        <v>228</v>
      </c>
      <c r="G471" s="146" t="s">
        <v>228</v>
      </c>
      <c r="H471" s="146" t="s">
        <v>228</v>
      </c>
      <c r="I471" s="146" t="s">
        <v>228</v>
      </c>
      <c r="J471" s="146" t="s">
        <v>523</v>
      </c>
      <c r="K471" s="146" t="s">
        <v>235</v>
      </c>
    </row>
    <row r="472" spans="1:11" x14ac:dyDescent="0.25">
      <c r="A472" s="146" t="s">
        <v>1229</v>
      </c>
      <c r="B472" s="146" t="s">
        <v>1230</v>
      </c>
      <c r="C472" s="146" t="s">
        <v>332</v>
      </c>
      <c r="D472" s="146" t="s">
        <v>333</v>
      </c>
      <c r="E472" s="146" t="s">
        <v>231</v>
      </c>
      <c r="F472" s="146" t="s">
        <v>228</v>
      </c>
      <c r="G472" s="146" t="s">
        <v>228</v>
      </c>
      <c r="H472" s="146" t="s">
        <v>228</v>
      </c>
      <c r="I472" s="146" t="s">
        <v>228</v>
      </c>
      <c r="J472" s="146" t="s">
        <v>523</v>
      </c>
      <c r="K472" s="146" t="s">
        <v>235</v>
      </c>
    </row>
    <row r="473" spans="1:11" x14ac:dyDescent="0.25">
      <c r="A473" s="146" t="s">
        <v>1231</v>
      </c>
      <c r="B473" s="146" t="s">
        <v>1232</v>
      </c>
      <c r="C473" s="146" t="s">
        <v>332</v>
      </c>
      <c r="D473" s="146" t="s">
        <v>333</v>
      </c>
      <c r="E473" s="146" t="s">
        <v>231</v>
      </c>
      <c r="F473" s="146" t="s">
        <v>228</v>
      </c>
      <c r="G473" s="146" t="s">
        <v>228</v>
      </c>
      <c r="H473" s="146" t="s">
        <v>228</v>
      </c>
      <c r="I473" s="146" t="s">
        <v>228</v>
      </c>
      <c r="J473" s="146" t="s">
        <v>523</v>
      </c>
      <c r="K473" s="146" t="s">
        <v>235</v>
      </c>
    </row>
    <row r="474" spans="1:11" x14ac:dyDescent="0.25">
      <c r="A474" s="146" t="s">
        <v>1233</v>
      </c>
      <c r="B474" s="146" t="s">
        <v>1234</v>
      </c>
      <c r="C474" s="146" t="s">
        <v>238</v>
      </c>
      <c r="D474" s="146" t="s">
        <v>239</v>
      </c>
      <c r="E474" s="146" t="s">
        <v>231</v>
      </c>
      <c r="F474" s="146" t="s">
        <v>228</v>
      </c>
      <c r="G474" s="146" t="s">
        <v>228</v>
      </c>
      <c r="H474" s="146" t="s">
        <v>228</v>
      </c>
      <c r="I474" s="146" t="s">
        <v>228</v>
      </c>
      <c r="J474" s="146" t="s">
        <v>320</v>
      </c>
      <c r="K474" s="146" t="s">
        <v>235</v>
      </c>
    </row>
    <row r="475" spans="1:11" x14ac:dyDescent="0.25">
      <c r="A475" s="146" t="s">
        <v>1235</v>
      </c>
      <c r="B475" s="146" t="s">
        <v>1236</v>
      </c>
      <c r="C475" s="146" t="s">
        <v>238</v>
      </c>
      <c r="D475" s="146" t="s">
        <v>239</v>
      </c>
      <c r="E475" s="146" t="s">
        <v>231</v>
      </c>
      <c r="F475" s="146" t="s">
        <v>228</v>
      </c>
      <c r="G475" s="146" t="s">
        <v>228</v>
      </c>
      <c r="H475" s="146" t="s">
        <v>228</v>
      </c>
      <c r="I475" s="146" t="s">
        <v>228</v>
      </c>
      <c r="J475" s="146" t="s">
        <v>320</v>
      </c>
      <c r="K475" s="146" t="s">
        <v>235</v>
      </c>
    </row>
    <row r="476" spans="1:11" x14ac:dyDescent="0.25">
      <c r="A476" s="146" t="s">
        <v>1237</v>
      </c>
      <c r="B476" s="146" t="s">
        <v>631</v>
      </c>
      <c r="C476" s="146" t="s">
        <v>238</v>
      </c>
      <c r="D476" s="146" t="s">
        <v>239</v>
      </c>
      <c r="E476" s="146" t="s">
        <v>231</v>
      </c>
      <c r="F476" s="146" t="s">
        <v>228</v>
      </c>
      <c r="G476" s="146" t="s">
        <v>228</v>
      </c>
      <c r="H476" s="146" t="s">
        <v>228</v>
      </c>
      <c r="I476" s="146" t="s">
        <v>228</v>
      </c>
      <c r="J476" s="146" t="s">
        <v>320</v>
      </c>
      <c r="K476" s="146" t="s">
        <v>235</v>
      </c>
    </row>
    <row r="477" spans="1:11" x14ac:dyDescent="0.25">
      <c r="A477" s="146" t="s">
        <v>1238</v>
      </c>
      <c r="B477" s="146" t="s">
        <v>1239</v>
      </c>
      <c r="C477" s="146" t="s">
        <v>238</v>
      </c>
      <c r="D477" s="146" t="s">
        <v>239</v>
      </c>
      <c r="E477" s="146" t="s">
        <v>231</v>
      </c>
      <c r="F477" s="146" t="s">
        <v>228</v>
      </c>
      <c r="G477" s="146" t="s">
        <v>228</v>
      </c>
      <c r="H477" s="146" t="s">
        <v>228</v>
      </c>
      <c r="I477" s="146" t="s">
        <v>228</v>
      </c>
      <c r="J477" s="146" t="s">
        <v>417</v>
      </c>
      <c r="K477" s="146" t="s">
        <v>235</v>
      </c>
    </row>
    <row r="478" spans="1:11" x14ac:dyDescent="0.25">
      <c r="A478" s="146" t="s">
        <v>1240</v>
      </c>
      <c r="B478" s="146" t="s">
        <v>1241</v>
      </c>
      <c r="C478" s="146" t="s">
        <v>238</v>
      </c>
      <c r="D478" s="146" t="s">
        <v>239</v>
      </c>
      <c r="E478" s="146" t="s">
        <v>231</v>
      </c>
      <c r="F478" s="146" t="s">
        <v>228</v>
      </c>
      <c r="G478" s="146" t="s">
        <v>228</v>
      </c>
      <c r="H478" s="146" t="s">
        <v>228</v>
      </c>
      <c r="I478" s="146" t="s">
        <v>228</v>
      </c>
      <c r="J478" s="146" t="s">
        <v>320</v>
      </c>
      <c r="K478" s="146" t="s">
        <v>235</v>
      </c>
    </row>
    <row r="479" spans="1:11" x14ac:dyDescent="0.25">
      <c r="A479" s="146" t="s">
        <v>1242</v>
      </c>
      <c r="B479" s="146" t="s">
        <v>1243</v>
      </c>
      <c r="C479" s="146" t="s">
        <v>238</v>
      </c>
      <c r="D479" s="146" t="s">
        <v>239</v>
      </c>
      <c r="E479" s="146" t="s">
        <v>231</v>
      </c>
      <c r="F479" s="146" t="s">
        <v>228</v>
      </c>
      <c r="G479" s="146" t="s">
        <v>228</v>
      </c>
      <c r="H479" s="146" t="s">
        <v>228</v>
      </c>
      <c r="I479" s="146" t="s">
        <v>228</v>
      </c>
      <c r="J479" s="146" t="s">
        <v>320</v>
      </c>
      <c r="K479" s="146" t="s">
        <v>235</v>
      </c>
    </row>
    <row r="480" spans="1:11" x14ac:dyDescent="0.25">
      <c r="A480" s="146" t="s">
        <v>1244</v>
      </c>
      <c r="B480" s="146" t="s">
        <v>1245</v>
      </c>
      <c r="C480" s="146" t="s">
        <v>238</v>
      </c>
      <c r="D480" s="146" t="s">
        <v>239</v>
      </c>
      <c r="E480" s="146" t="s">
        <v>231</v>
      </c>
      <c r="F480" s="146" t="s">
        <v>228</v>
      </c>
      <c r="G480" s="146" t="s">
        <v>228</v>
      </c>
      <c r="H480" s="146" t="s">
        <v>228</v>
      </c>
      <c r="I480" s="146" t="s">
        <v>228</v>
      </c>
      <c r="J480" s="146" t="s">
        <v>320</v>
      </c>
      <c r="K480" s="146" t="s">
        <v>235</v>
      </c>
    </row>
    <row r="481" spans="1:11" x14ac:dyDescent="0.25">
      <c r="A481" s="146" t="s">
        <v>1246</v>
      </c>
      <c r="B481" s="146" t="s">
        <v>1247</v>
      </c>
      <c r="C481" s="146" t="s">
        <v>238</v>
      </c>
      <c r="D481" s="146" t="s">
        <v>239</v>
      </c>
      <c r="E481" s="146" t="s">
        <v>231</v>
      </c>
      <c r="F481" s="146" t="s">
        <v>228</v>
      </c>
      <c r="G481" s="146" t="s">
        <v>228</v>
      </c>
      <c r="H481" s="146" t="s">
        <v>228</v>
      </c>
      <c r="I481" s="146" t="s">
        <v>228</v>
      </c>
      <c r="J481" s="146" t="s">
        <v>320</v>
      </c>
      <c r="K481" s="146" t="s">
        <v>235</v>
      </c>
    </row>
    <row r="482" spans="1:11" x14ac:dyDescent="0.25">
      <c r="A482" s="146" t="s">
        <v>1248</v>
      </c>
      <c r="B482" s="146" t="s">
        <v>1249</v>
      </c>
      <c r="C482" s="146" t="s">
        <v>238</v>
      </c>
      <c r="D482" s="146" t="s">
        <v>239</v>
      </c>
      <c r="E482" s="146" t="s">
        <v>231</v>
      </c>
      <c r="F482" s="146" t="s">
        <v>228</v>
      </c>
      <c r="G482" s="146" t="s">
        <v>228</v>
      </c>
      <c r="H482" s="146" t="s">
        <v>228</v>
      </c>
      <c r="I482" s="146" t="s">
        <v>228</v>
      </c>
      <c r="J482" s="146" t="s">
        <v>320</v>
      </c>
      <c r="K482" s="146" t="s">
        <v>235</v>
      </c>
    </row>
    <row r="483" spans="1:11" x14ac:dyDescent="0.25">
      <c r="A483" s="146" t="s">
        <v>1250</v>
      </c>
      <c r="B483" s="146" t="s">
        <v>1251</v>
      </c>
      <c r="C483" s="146" t="s">
        <v>238</v>
      </c>
      <c r="D483" s="146" t="s">
        <v>239</v>
      </c>
      <c r="E483" s="146" t="s">
        <v>231</v>
      </c>
      <c r="F483" s="146" t="s">
        <v>228</v>
      </c>
      <c r="G483" s="146" t="s">
        <v>228</v>
      </c>
      <c r="H483" s="146" t="s">
        <v>228</v>
      </c>
      <c r="I483" s="146" t="s">
        <v>228</v>
      </c>
      <c r="J483" s="146" t="s">
        <v>320</v>
      </c>
      <c r="K483" s="146" t="s">
        <v>235</v>
      </c>
    </row>
    <row r="484" spans="1:11" x14ac:dyDescent="0.25">
      <c r="A484" s="146" t="s">
        <v>1252</v>
      </c>
      <c r="B484" s="146" t="s">
        <v>1253</v>
      </c>
      <c r="C484" s="146" t="s">
        <v>238</v>
      </c>
      <c r="D484" s="146" t="s">
        <v>239</v>
      </c>
      <c r="E484" s="146" t="s">
        <v>231</v>
      </c>
      <c r="F484" s="146" t="s">
        <v>228</v>
      </c>
      <c r="G484" s="146" t="s">
        <v>228</v>
      </c>
      <c r="H484" s="146" t="s">
        <v>228</v>
      </c>
      <c r="I484" s="146" t="s">
        <v>228</v>
      </c>
      <c r="J484" s="146" t="s">
        <v>243</v>
      </c>
      <c r="K484" s="146" t="s">
        <v>235</v>
      </c>
    </row>
    <row r="485" spans="1:11" x14ac:dyDescent="0.25">
      <c r="A485" s="146" t="s">
        <v>1254</v>
      </c>
      <c r="B485" s="146" t="s">
        <v>1255</v>
      </c>
      <c r="C485" s="146" t="s">
        <v>238</v>
      </c>
      <c r="D485" s="146" t="s">
        <v>239</v>
      </c>
      <c r="E485" s="146" t="s">
        <v>231</v>
      </c>
      <c r="F485" s="146" t="s">
        <v>228</v>
      </c>
      <c r="G485" s="146" t="s">
        <v>228</v>
      </c>
      <c r="H485" s="146" t="s">
        <v>228</v>
      </c>
      <c r="I485" s="146" t="s">
        <v>228</v>
      </c>
      <c r="J485" s="146" t="s">
        <v>243</v>
      </c>
      <c r="K485" s="146" t="s">
        <v>235</v>
      </c>
    </row>
    <row r="486" spans="1:11" x14ac:dyDescent="0.25">
      <c r="A486" s="146" t="s">
        <v>1256</v>
      </c>
      <c r="B486" s="146" t="s">
        <v>1257</v>
      </c>
      <c r="C486" s="146" t="s">
        <v>238</v>
      </c>
      <c r="D486" s="146" t="s">
        <v>239</v>
      </c>
      <c r="E486" s="146" t="s">
        <v>231</v>
      </c>
      <c r="F486" s="146" t="s">
        <v>228</v>
      </c>
      <c r="G486" s="146" t="s">
        <v>228</v>
      </c>
      <c r="H486" s="146" t="s">
        <v>228</v>
      </c>
      <c r="I486" s="146" t="s">
        <v>228</v>
      </c>
      <c r="J486" s="146" t="s">
        <v>240</v>
      </c>
      <c r="K486" s="146" t="s">
        <v>341</v>
      </c>
    </row>
    <row r="487" spans="1:11" x14ac:dyDescent="0.25">
      <c r="A487" s="146" t="s">
        <v>1258</v>
      </c>
      <c r="B487" s="146" t="s">
        <v>1259</v>
      </c>
      <c r="C487" s="146" t="s">
        <v>238</v>
      </c>
      <c r="D487" s="146" t="s">
        <v>239</v>
      </c>
      <c r="E487" s="146" t="s">
        <v>231</v>
      </c>
      <c r="F487" s="146" t="s">
        <v>228</v>
      </c>
      <c r="G487" s="146" t="s">
        <v>228</v>
      </c>
      <c r="H487" s="146" t="s">
        <v>228</v>
      </c>
      <c r="I487" s="146" t="s">
        <v>228</v>
      </c>
      <c r="J487" s="146" t="s">
        <v>408</v>
      </c>
      <c r="K487" s="146" t="s">
        <v>235</v>
      </c>
    </row>
    <row r="488" spans="1:11" x14ac:dyDescent="0.25">
      <c r="A488" s="146" t="s">
        <v>1260</v>
      </c>
      <c r="B488" s="146" t="s">
        <v>1261</v>
      </c>
      <c r="C488" s="146" t="s">
        <v>238</v>
      </c>
      <c r="D488" s="146" t="s">
        <v>239</v>
      </c>
      <c r="E488" s="146" t="s">
        <v>231</v>
      </c>
      <c r="F488" s="146" t="s">
        <v>228</v>
      </c>
      <c r="G488" s="146" t="s">
        <v>228</v>
      </c>
      <c r="H488" s="146" t="s">
        <v>228</v>
      </c>
      <c r="I488" s="146" t="s">
        <v>228</v>
      </c>
      <c r="J488" s="146" t="s">
        <v>1262</v>
      </c>
      <c r="K488" s="146" t="s">
        <v>235</v>
      </c>
    </row>
    <row r="489" spans="1:11" x14ac:dyDescent="0.25">
      <c r="A489" s="146" t="s">
        <v>1263</v>
      </c>
      <c r="B489" s="146" t="s">
        <v>1264</v>
      </c>
      <c r="C489" s="146" t="s">
        <v>238</v>
      </c>
      <c r="D489" s="146" t="s">
        <v>239</v>
      </c>
      <c r="E489" s="146" t="s">
        <v>231</v>
      </c>
      <c r="F489" s="146" t="s">
        <v>228</v>
      </c>
      <c r="G489" s="146" t="s">
        <v>228</v>
      </c>
      <c r="H489" s="146" t="s">
        <v>228</v>
      </c>
      <c r="I489" s="146" t="s">
        <v>228</v>
      </c>
      <c r="J489" s="146" t="s">
        <v>240</v>
      </c>
      <c r="K489" s="146" t="s">
        <v>341</v>
      </c>
    </row>
    <row r="490" spans="1:11" x14ac:dyDescent="0.25">
      <c r="A490" s="146" t="s">
        <v>1265</v>
      </c>
      <c r="B490" s="146" t="s">
        <v>1266</v>
      </c>
      <c r="C490" s="146" t="s">
        <v>238</v>
      </c>
      <c r="D490" s="146" t="s">
        <v>239</v>
      </c>
      <c r="E490" s="146" t="s">
        <v>231</v>
      </c>
      <c r="F490" s="146" t="s">
        <v>228</v>
      </c>
      <c r="G490" s="146" t="s">
        <v>228</v>
      </c>
      <c r="H490" s="146" t="s">
        <v>228</v>
      </c>
      <c r="I490" s="146" t="s">
        <v>228</v>
      </c>
      <c r="J490" s="146" t="s">
        <v>425</v>
      </c>
      <c r="K490" s="146" t="s">
        <v>341</v>
      </c>
    </row>
    <row r="491" spans="1:11" x14ac:dyDescent="0.25">
      <c r="A491" s="146" t="s">
        <v>1267</v>
      </c>
      <c r="B491" s="146" t="s">
        <v>1268</v>
      </c>
      <c r="C491" s="146" t="s">
        <v>238</v>
      </c>
      <c r="D491" s="146" t="s">
        <v>239</v>
      </c>
      <c r="E491" s="146" t="s">
        <v>231</v>
      </c>
      <c r="F491" s="146" t="s">
        <v>228</v>
      </c>
      <c r="G491" s="146" t="s">
        <v>228</v>
      </c>
      <c r="H491" s="146" t="s">
        <v>228</v>
      </c>
      <c r="I491" s="146" t="s">
        <v>228</v>
      </c>
      <c r="J491" s="146" t="s">
        <v>240</v>
      </c>
      <c r="K491" s="146" t="s">
        <v>235</v>
      </c>
    </row>
    <row r="492" spans="1:11" x14ac:dyDescent="0.25">
      <c r="A492" s="146" t="s">
        <v>1269</v>
      </c>
      <c r="B492" s="146" t="s">
        <v>1270</v>
      </c>
      <c r="C492" s="146" t="s">
        <v>238</v>
      </c>
      <c r="D492" s="146" t="s">
        <v>239</v>
      </c>
      <c r="E492" s="146" t="s">
        <v>231</v>
      </c>
      <c r="F492" s="146" t="s">
        <v>228</v>
      </c>
      <c r="G492" s="146" t="s">
        <v>228</v>
      </c>
      <c r="H492" s="146" t="s">
        <v>228</v>
      </c>
      <c r="I492" s="146" t="s">
        <v>228</v>
      </c>
      <c r="J492" s="146" t="s">
        <v>240</v>
      </c>
      <c r="K492" s="146" t="s">
        <v>235</v>
      </c>
    </row>
    <row r="493" spans="1:11" x14ac:dyDescent="0.25">
      <c r="A493" s="146" t="s">
        <v>1271</v>
      </c>
      <c r="B493" s="146" t="s">
        <v>1272</v>
      </c>
      <c r="C493" s="146" t="s">
        <v>238</v>
      </c>
      <c r="D493" s="146" t="s">
        <v>239</v>
      </c>
      <c r="E493" s="146" t="s">
        <v>231</v>
      </c>
      <c r="F493" s="146" t="s">
        <v>228</v>
      </c>
      <c r="G493" s="146" t="s">
        <v>228</v>
      </c>
      <c r="H493" s="146" t="s">
        <v>228</v>
      </c>
      <c r="I493" s="146" t="s">
        <v>228</v>
      </c>
      <c r="J493" s="146" t="s">
        <v>240</v>
      </c>
      <c r="K493" s="146" t="s">
        <v>235</v>
      </c>
    </row>
    <row r="494" spans="1:11" x14ac:dyDescent="0.25">
      <c r="A494" s="146" t="s">
        <v>1273</v>
      </c>
      <c r="B494" s="146" t="s">
        <v>1274</v>
      </c>
      <c r="C494" s="146" t="s">
        <v>238</v>
      </c>
      <c r="D494" s="146" t="s">
        <v>239</v>
      </c>
      <c r="E494" s="146" t="s">
        <v>231</v>
      </c>
      <c r="F494" s="146" t="s">
        <v>228</v>
      </c>
      <c r="G494" s="146" t="s">
        <v>228</v>
      </c>
      <c r="H494" s="146" t="s">
        <v>228</v>
      </c>
      <c r="I494" s="146" t="s">
        <v>228</v>
      </c>
      <c r="J494" s="146" t="s">
        <v>243</v>
      </c>
      <c r="K494" s="146" t="s">
        <v>235</v>
      </c>
    </row>
    <row r="495" spans="1:11" x14ac:dyDescent="0.25">
      <c r="A495" s="146" t="s">
        <v>1275</v>
      </c>
      <c r="B495" s="146" t="s">
        <v>1276</v>
      </c>
      <c r="C495" s="146" t="s">
        <v>238</v>
      </c>
      <c r="D495" s="146" t="s">
        <v>239</v>
      </c>
      <c r="E495" s="146" t="s">
        <v>231</v>
      </c>
      <c r="F495" s="146" t="s">
        <v>228</v>
      </c>
      <c r="G495" s="146" t="s">
        <v>228</v>
      </c>
      <c r="H495" s="146" t="s">
        <v>228</v>
      </c>
      <c r="I495" s="146" t="s">
        <v>228</v>
      </c>
      <c r="J495" s="146" t="s">
        <v>243</v>
      </c>
      <c r="K495" s="146" t="s">
        <v>341</v>
      </c>
    </row>
    <row r="496" spans="1:11" x14ac:dyDescent="0.25">
      <c r="A496" s="146" t="s">
        <v>1277</v>
      </c>
      <c r="B496" s="146" t="s">
        <v>1278</v>
      </c>
      <c r="C496" s="146" t="s">
        <v>238</v>
      </c>
      <c r="D496" s="146" t="s">
        <v>239</v>
      </c>
      <c r="E496" s="146" t="s">
        <v>231</v>
      </c>
      <c r="F496" s="146" t="s">
        <v>228</v>
      </c>
      <c r="G496" s="146" t="s">
        <v>228</v>
      </c>
      <c r="H496" s="146" t="s">
        <v>228</v>
      </c>
      <c r="I496" s="146" t="s">
        <v>228</v>
      </c>
      <c r="J496" s="146" t="s">
        <v>240</v>
      </c>
      <c r="K496" s="146" t="s">
        <v>235</v>
      </c>
    </row>
    <row r="497" spans="1:11" x14ac:dyDescent="0.25">
      <c r="A497" s="146" t="s">
        <v>1279</v>
      </c>
      <c r="B497" s="146" t="s">
        <v>1280</v>
      </c>
      <c r="C497" s="146" t="s">
        <v>238</v>
      </c>
      <c r="D497" s="146" t="s">
        <v>239</v>
      </c>
      <c r="E497" s="146" t="s">
        <v>231</v>
      </c>
      <c r="F497" s="146" t="s">
        <v>228</v>
      </c>
      <c r="G497" s="146" t="s">
        <v>228</v>
      </c>
      <c r="H497" s="146" t="s">
        <v>228</v>
      </c>
      <c r="I497" s="146" t="s">
        <v>228</v>
      </c>
      <c r="J497" s="146" t="s">
        <v>240</v>
      </c>
      <c r="K497" s="146" t="s">
        <v>341</v>
      </c>
    </row>
    <row r="498" spans="1:11" x14ac:dyDescent="0.25">
      <c r="A498" s="146" t="s">
        <v>1281</v>
      </c>
      <c r="B498" s="146" t="s">
        <v>1282</v>
      </c>
      <c r="C498" s="146" t="s">
        <v>238</v>
      </c>
      <c r="D498" s="146" t="s">
        <v>239</v>
      </c>
      <c r="E498" s="146" t="s">
        <v>231</v>
      </c>
      <c r="F498" s="146" t="s">
        <v>228</v>
      </c>
      <c r="G498" s="146" t="s">
        <v>228</v>
      </c>
      <c r="H498" s="146" t="s">
        <v>228</v>
      </c>
      <c r="I498" s="146" t="s">
        <v>228</v>
      </c>
      <c r="J498" s="146" t="s">
        <v>425</v>
      </c>
      <c r="K498" s="146" t="s">
        <v>341</v>
      </c>
    </row>
    <row r="499" spans="1:11" x14ac:dyDescent="0.25">
      <c r="A499" s="146" t="s">
        <v>1283</v>
      </c>
      <c r="B499" s="146" t="s">
        <v>777</v>
      </c>
      <c r="C499" s="146" t="s">
        <v>238</v>
      </c>
      <c r="D499" s="146" t="s">
        <v>239</v>
      </c>
      <c r="E499" s="146" t="s">
        <v>231</v>
      </c>
      <c r="F499" s="146" t="s">
        <v>228</v>
      </c>
      <c r="G499" s="146" t="s">
        <v>228</v>
      </c>
      <c r="H499" s="146" t="s">
        <v>228</v>
      </c>
      <c r="I499" s="146" t="s">
        <v>228</v>
      </c>
      <c r="J499" s="146" t="s">
        <v>243</v>
      </c>
      <c r="K499" s="146" t="s">
        <v>341</v>
      </c>
    </row>
    <row r="500" spans="1:11" x14ac:dyDescent="0.25">
      <c r="A500" s="146" t="s">
        <v>1284</v>
      </c>
      <c r="B500" s="146" t="s">
        <v>1285</v>
      </c>
      <c r="C500" s="146" t="s">
        <v>238</v>
      </c>
      <c r="D500" s="146" t="s">
        <v>239</v>
      </c>
      <c r="E500" s="146" t="s">
        <v>231</v>
      </c>
      <c r="F500" s="146" t="s">
        <v>228</v>
      </c>
      <c r="G500" s="146" t="s">
        <v>228</v>
      </c>
      <c r="H500" s="146" t="s">
        <v>228</v>
      </c>
      <c r="I500" s="146" t="s">
        <v>228</v>
      </c>
      <c r="J500" s="146" t="s">
        <v>240</v>
      </c>
      <c r="K500" s="146" t="s">
        <v>235</v>
      </c>
    </row>
    <row r="501" spans="1:11" x14ac:dyDescent="0.25">
      <c r="A501" s="146" t="s">
        <v>1286</v>
      </c>
      <c r="B501" s="146" t="s">
        <v>1287</v>
      </c>
      <c r="C501" s="146" t="s">
        <v>238</v>
      </c>
      <c r="D501" s="146" t="s">
        <v>239</v>
      </c>
      <c r="E501" s="146" t="s">
        <v>231</v>
      </c>
      <c r="F501" s="146" t="s">
        <v>228</v>
      </c>
      <c r="G501" s="146" t="s">
        <v>228</v>
      </c>
      <c r="H501" s="146" t="s">
        <v>228</v>
      </c>
      <c r="I501" s="146" t="s">
        <v>228</v>
      </c>
      <c r="J501" s="146" t="s">
        <v>243</v>
      </c>
      <c r="K501" s="146" t="s">
        <v>341</v>
      </c>
    </row>
    <row r="502" spans="1:11" x14ac:dyDescent="0.25">
      <c r="A502" s="146" t="s">
        <v>1288</v>
      </c>
      <c r="B502" s="146" t="s">
        <v>1289</v>
      </c>
      <c r="C502" s="146" t="s">
        <v>238</v>
      </c>
      <c r="D502" s="146" t="s">
        <v>239</v>
      </c>
      <c r="E502" s="146" t="s">
        <v>231</v>
      </c>
      <c r="F502" s="146" t="s">
        <v>228</v>
      </c>
      <c r="G502" s="146" t="s">
        <v>228</v>
      </c>
      <c r="H502" s="146" t="s">
        <v>228</v>
      </c>
      <c r="I502" s="146" t="s">
        <v>228</v>
      </c>
      <c r="J502" s="146" t="s">
        <v>243</v>
      </c>
      <c r="K502" s="146" t="s">
        <v>341</v>
      </c>
    </row>
    <row r="503" spans="1:11" x14ac:dyDescent="0.25">
      <c r="A503" s="146" t="s">
        <v>1290</v>
      </c>
      <c r="B503" s="146" t="s">
        <v>1291</v>
      </c>
      <c r="C503" s="146" t="s">
        <v>238</v>
      </c>
      <c r="D503" s="146" t="s">
        <v>239</v>
      </c>
      <c r="E503" s="146" t="s">
        <v>231</v>
      </c>
      <c r="F503" s="146" t="s">
        <v>228</v>
      </c>
      <c r="G503" s="146" t="s">
        <v>228</v>
      </c>
      <c r="H503" s="146" t="s">
        <v>228</v>
      </c>
      <c r="I503" s="146" t="s">
        <v>228</v>
      </c>
      <c r="J503" s="146" t="s">
        <v>243</v>
      </c>
      <c r="K503" s="146" t="s">
        <v>235</v>
      </c>
    </row>
    <row r="504" spans="1:11" x14ac:dyDescent="0.25">
      <c r="A504" s="146" t="s">
        <v>1292</v>
      </c>
      <c r="B504" s="146" t="s">
        <v>1293</v>
      </c>
      <c r="C504" s="146" t="s">
        <v>238</v>
      </c>
      <c r="D504" s="146" t="s">
        <v>239</v>
      </c>
      <c r="E504" s="146" t="s">
        <v>231</v>
      </c>
      <c r="F504" s="146" t="s">
        <v>228</v>
      </c>
      <c r="G504" s="146" t="s">
        <v>228</v>
      </c>
      <c r="H504" s="146" t="s">
        <v>228</v>
      </c>
      <c r="I504" s="146" t="s">
        <v>228</v>
      </c>
      <c r="J504" s="146" t="s">
        <v>243</v>
      </c>
      <c r="K504" s="146" t="s">
        <v>235</v>
      </c>
    </row>
    <row r="505" spans="1:11" x14ac:dyDescent="0.25">
      <c r="A505" s="146" t="s">
        <v>1294</v>
      </c>
      <c r="B505" s="146" t="s">
        <v>1295</v>
      </c>
      <c r="C505" s="146" t="s">
        <v>238</v>
      </c>
      <c r="D505" s="146" t="s">
        <v>239</v>
      </c>
      <c r="E505" s="146" t="s">
        <v>231</v>
      </c>
      <c r="F505" s="146" t="s">
        <v>228</v>
      </c>
      <c r="G505" s="146" t="s">
        <v>228</v>
      </c>
      <c r="H505" s="146" t="s">
        <v>228</v>
      </c>
      <c r="I505" s="146" t="s">
        <v>228</v>
      </c>
      <c r="J505" s="146" t="s">
        <v>240</v>
      </c>
      <c r="K505" s="146" t="s">
        <v>235</v>
      </c>
    </row>
    <row r="506" spans="1:11" x14ac:dyDescent="0.25">
      <c r="A506" s="146" t="s">
        <v>1296</v>
      </c>
      <c r="B506" s="146" t="s">
        <v>1297</v>
      </c>
      <c r="C506" s="146" t="s">
        <v>238</v>
      </c>
      <c r="D506" s="146" t="s">
        <v>239</v>
      </c>
      <c r="E506" s="146" t="s">
        <v>231</v>
      </c>
      <c r="F506" s="146" t="s">
        <v>228</v>
      </c>
      <c r="G506" s="146" t="s">
        <v>228</v>
      </c>
      <c r="H506" s="146" t="s">
        <v>228</v>
      </c>
      <c r="I506" s="146" t="s">
        <v>228</v>
      </c>
      <c r="J506" s="146" t="s">
        <v>243</v>
      </c>
      <c r="K506" s="146" t="s">
        <v>235</v>
      </c>
    </row>
    <row r="507" spans="1:11" x14ac:dyDescent="0.25">
      <c r="A507" s="146" t="s">
        <v>1298</v>
      </c>
      <c r="B507" s="146" t="s">
        <v>1299</v>
      </c>
      <c r="C507" s="146" t="s">
        <v>238</v>
      </c>
      <c r="D507" s="146" t="s">
        <v>239</v>
      </c>
      <c r="E507" s="146" t="s">
        <v>231</v>
      </c>
      <c r="F507" s="146" t="s">
        <v>228</v>
      </c>
      <c r="G507" s="146" t="s">
        <v>228</v>
      </c>
      <c r="H507" s="146" t="s">
        <v>228</v>
      </c>
      <c r="I507" s="146" t="s">
        <v>228</v>
      </c>
      <c r="J507" s="146" t="s">
        <v>240</v>
      </c>
      <c r="K507" s="146" t="s">
        <v>235</v>
      </c>
    </row>
    <row r="508" spans="1:11" x14ac:dyDescent="0.25">
      <c r="A508" s="146" t="s">
        <v>1300</v>
      </c>
      <c r="B508" s="146" t="s">
        <v>1301</v>
      </c>
      <c r="C508" s="146" t="s">
        <v>238</v>
      </c>
      <c r="D508" s="146" t="s">
        <v>239</v>
      </c>
      <c r="E508" s="146" t="s">
        <v>231</v>
      </c>
      <c r="F508" s="146" t="s">
        <v>228</v>
      </c>
      <c r="G508" s="146" t="s">
        <v>228</v>
      </c>
      <c r="H508" s="146" t="s">
        <v>228</v>
      </c>
      <c r="I508" s="146" t="s">
        <v>228</v>
      </c>
      <c r="J508" s="146" t="s">
        <v>240</v>
      </c>
      <c r="K508" s="146" t="s">
        <v>235</v>
      </c>
    </row>
    <row r="509" spans="1:11" x14ac:dyDescent="0.25">
      <c r="A509" s="146" t="s">
        <v>1302</v>
      </c>
      <c r="B509" s="146" t="s">
        <v>1303</v>
      </c>
      <c r="C509" s="146" t="s">
        <v>238</v>
      </c>
      <c r="D509" s="146" t="s">
        <v>239</v>
      </c>
      <c r="E509" s="146" t="s">
        <v>231</v>
      </c>
      <c r="F509" s="146" t="s">
        <v>228</v>
      </c>
      <c r="G509" s="146" t="s">
        <v>228</v>
      </c>
      <c r="H509" s="146" t="s">
        <v>228</v>
      </c>
      <c r="I509" s="146" t="s">
        <v>228</v>
      </c>
      <c r="J509" s="146" t="s">
        <v>234</v>
      </c>
      <c r="K509" s="146" t="s">
        <v>235</v>
      </c>
    </row>
    <row r="510" spans="1:11" x14ac:dyDescent="0.25">
      <c r="A510" s="146" t="s">
        <v>1304</v>
      </c>
      <c r="B510" s="146" t="s">
        <v>1305</v>
      </c>
      <c r="C510" s="146" t="s">
        <v>238</v>
      </c>
      <c r="D510" s="146" t="s">
        <v>239</v>
      </c>
      <c r="E510" s="146" t="s">
        <v>231</v>
      </c>
      <c r="F510" s="146" t="s">
        <v>228</v>
      </c>
      <c r="G510" s="146" t="s">
        <v>228</v>
      </c>
      <c r="H510" s="146" t="s">
        <v>228</v>
      </c>
      <c r="I510" s="146" t="s">
        <v>228</v>
      </c>
      <c r="J510" s="146" t="s">
        <v>243</v>
      </c>
      <c r="K510" s="146" t="s">
        <v>341</v>
      </c>
    </row>
    <row r="511" spans="1:11" x14ac:dyDescent="0.25">
      <c r="A511" s="146" t="s">
        <v>1306</v>
      </c>
      <c r="B511" s="146" t="s">
        <v>703</v>
      </c>
      <c r="C511" s="146" t="s">
        <v>238</v>
      </c>
      <c r="D511" s="146" t="s">
        <v>239</v>
      </c>
      <c r="E511" s="146" t="s">
        <v>231</v>
      </c>
      <c r="F511" s="146" t="s">
        <v>228</v>
      </c>
      <c r="G511" s="146" t="s">
        <v>228</v>
      </c>
      <c r="H511" s="146" t="s">
        <v>228</v>
      </c>
      <c r="I511" s="146" t="s">
        <v>228</v>
      </c>
      <c r="J511" s="146" t="s">
        <v>1262</v>
      </c>
      <c r="K511" s="146" t="s">
        <v>341</v>
      </c>
    </row>
    <row r="512" spans="1:11" x14ac:dyDescent="0.25">
      <c r="A512" s="146" t="s">
        <v>1307</v>
      </c>
      <c r="B512" s="146" t="s">
        <v>1308</v>
      </c>
      <c r="C512" s="146" t="s">
        <v>238</v>
      </c>
      <c r="D512" s="146" t="s">
        <v>239</v>
      </c>
      <c r="E512" s="146" t="s">
        <v>231</v>
      </c>
      <c r="F512" s="146" t="s">
        <v>228</v>
      </c>
      <c r="G512" s="146" t="s">
        <v>228</v>
      </c>
      <c r="H512" s="146" t="s">
        <v>228</v>
      </c>
      <c r="I512" s="146" t="s">
        <v>228</v>
      </c>
      <c r="J512" s="146" t="s">
        <v>240</v>
      </c>
      <c r="K512" s="146" t="s">
        <v>341</v>
      </c>
    </row>
    <row r="513" spans="1:11" x14ac:dyDescent="0.25">
      <c r="A513" s="146" t="s">
        <v>1309</v>
      </c>
      <c r="B513" s="146" t="s">
        <v>1310</v>
      </c>
      <c r="C513" s="146" t="s">
        <v>238</v>
      </c>
      <c r="D513" s="146" t="s">
        <v>239</v>
      </c>
      <c r="E513" s="146" t="s">
        <v>231</v>
      </c>
      <c r="F513" s="146" t="s">
        <v>228</v>
      </c>
      <c r="G513" s="146" t="s">
        <v>228</v>
      </c>
      <c r="H513" s="146" t="s">
        <v>228</v>
      </c>
      <c r="I513" s="146" t="s">
        <v>228</v>
      </c>
      <c r="J513" s="146" t="s">
        <v>240</v>
      </c>
      <c r="K513" s="146" t="s">
        <v>235</v>
      </c>
    </row>
    <row r="514" spans="1:11" x14ac:dyDescent="0.25">
      <c r="A514" s="146" t="s">
        <v>1311</v>
      </c>
      <c r="B514" s="146" t="s">
        <v>1312</v>
      </c>
      <c r="C514" s="146" t="s">
        <v>238</v>
      </c>
      <c r="D514" s="146" t="s">
        <v>239</v>
      </c>
      <c r="E514" s="146" t="s">
        <v>231</v>
      </c>
      <c r="F514" s="146" t="s">
        <v>228</v>
      </c>
      <c r="G514" s="146" t="s">
        <v>228</v>
      </c>
      <c r="H514" s="146" t="s">
        <v>228</v>
      </c>
      <c r="I514" s="146" t="s">
        <v>228</v>
      </c>
      <c r="J514" s="146" t="s">
        <v>240</v>
      </c>
      <c r="K514" s="146" t="s">
        <v>235</v>
      </c>
    </row>
    <row r="515" spans="1:11" x14ac:dyDescent="0.25">
      <c r="A515" s="146" t="s">
        <v>1313</v>
      </c>
      <c r="B515" s="146" t="s">
        <v>1314</v>
      </c>
      <c r="C515" s="146" t="s">
        <v>238</v>
      </c>
      <c r="D515" s="146" t="s">
        <v>239</v>
      </c>
      <c r="E515" s="146" t="s">
        <v>231</v>
      </c>
      <c r="F515" s="146" t="s">
        <v>228</v>
      </c>
      <c r="G515" s="146" t="s">
        <v>228</v>
      </c>
      <c r="H515" s="146" t="s">
        <v>228</v>
      </c>
      <c r="I515" s="146" t="s">
        <v>228</v>
      </c>
      <c r="J515" s="146" t="s">
        <v>243</v>
      </c>
      <c r="K515" s="146" t="s">
        <v>235</v>
      </c>
    </row>
    <row r="516" spans="1:11" x14ac:dyDescent="0.25">
      <c r="A516" s="146" t="s">
        <v>1315</v>
      </c>
      <c r="B516" s="146" t="s">
        <v>1316</v>
      </c>
      <c r="C516" s="146" t="s">
        <v>238</v>
      </c>
      <c r="D516" s="146" t="s">
        <v>239</v>
      </c>
      <c r="E516" s="146" t="s">
        <v>231</v>
      </c>
      <c r="F516" s="146" t="s">
        <v>228</v>
      </c>
      <c r="G516" s="146" t="s">
        <v>228</v>
      </c>
      <c r="H516" s="146" t="s">
        <v>228</v>
      </c>
      <c r="I516" s="146" t="s">
        <v>228</v>
      </c>
      <c r="J516" s="146" t="s">
        <v>243</v>
      </c>
      <c r="K516" s="146" t="s">
        <v>235</v>
      </c>
    </row>
    <row r="517" spans="1:11" x14ac:dyDescent="0.25">
      <c r="A517" s="146" t="s">
        <v>1317</v>
      </c>
      <c r="B517" s="146" t="s">
        <v>1318</v>
      </c>
      <c r="C517" s="146" t="s">
        <v>238</v>
      </c>
      <c r="D517" s="146" t="s">
        <v>239</v>
      </c>
      <c r="E517" s="146" t="s">
        <v>231</v>
      </c>
      <c r="F517" s="146" t="s">
        <v>228</v>
      </c>
      <c r="G517" s="146" t="s">
        <v>228</v>
      </c>
      <c r="H517" s="146" t="s">
        <v>228</v>
      </c>
      <c r="I517" s="146" t="s">
        <v>228</v>
      </c>
      <c r="J517" s="146" t="s">
        <v>243</v>
      </c>
      <c r="K517" s="146" t="s">
        <v>235</v>
      </c>
    </row>
    <row r="518" spans="1:11" x14ac:dyDescent="0.25">
      <c r="A518" s="146" t="s">
        <v>1319</v>
      </c>
      <c r="B518" s="146" t="s">
        <v>1320</v>
      </c>
      <c r="C518" s="146" t="s">
        <v>238</v>
      </c>
      <c r="D518" s="146" t="s">
        <v>239</v>
      </c>
      <c r="E518" s="146" t="s">
        <v>231</v>
      </c>
      <c r="F518" s="146" t="s">
        <v>228</v>
      </c>
      <c r="G518" s="146" t="s">
        <v>228</v>
      </c>
      <c r="H518" s="146" t="s">
        <v>228</v>
      </c>
      <c r="I518" s="146" t="s">
        <v>228</v>
      </c>
      <c r="J518" s="146" t="s">
        <v>240</v>
      </c>
      <c r="K518" s="146" t="s">
        <v>341</v>
      </c>
    </row>
    <row r="519" spans="1:11" x14ac:dyDescent="0.25">
      <c r="A519" s="146" t="s">
        <v>1321</v>
      </c>
      <c r="B519" s="146" t="s">
        <v>1322</v>
      </c>
      <c r="C519" s="146" t="s">
        <v>238</v>
      </c>
      <c r="D519" s="146" t="s">
        <v>239</v>
      </c>
      <c r="E519" s="146" t="s">
        <v>231</v>
      </c>
      <c r="F519" s="146" t="s">
        <v>228</v>
      </c>
      <c r="G519" s="146" t="s">
        <v>228</v>
      </c>
      <c r="H519" s="146" t="s">
        <v>228</v>
      </c>
      <c r="I519" s="146" t="s">
        <v>228</v>
      </c>
      <c r="J519" s="146" t="s">
        <v>234</v>
      </c>
      <c r="K519" s="146" t="s">
        <v>235</v>
      </c>
    </row>
    <row r="520" spans="1:11" x14ac:dyDescent="0.25">
      <c r="A520" s="146" t="s">
        <v>1323</v>
      </c>
      <c r="B520" s="146" t="s">
        <v>1324</v>
      </c>
      <c r="C520" s="146" t="s">
        <v>238</v>
      </c>
      <c r="D520" s="146" t="s">
        <v>239</v>
      </c>
      <c r="E520" s="146" t="s">
        <v>231</v>
      </c>
      <c r="F520" s="146" t="s">
        <v>228</v>
      </c>
      <c r="G520" s="146" t="s">
        <v>228</v>
      </c>
      <c r="H520" s="146" t="s">
        <v>228</v>
      </c>
      <c r="I520" s="146" t="s">
        <v>228</v>
      </c>
      <c r="J520" s="146" t="s">
        <v>1325</v>
      </c>
      <c r="K520" s="146" t="s">
        <v>235</v>
      </c>
    </row>
    <row r="521" spans="1:11" x14ac:dyDescent="0.25">
      <c r="A521" s="146" t="s">
        <v>1326</v>
      </c>
      <c r="B521" s="146" t="s">
        <v>1327</v>
      </c>
      <c r="C521" s="146" t="s">
        <v>238</v>
      </c>
      <c r="D521" s="146" t="s">
        <v>239</v>
      </c>
      <c r="E521" s="146" t="s">
        <v>231</v>
      </c>
      <c r="F521" s="146" t="s">
        <v>228</v>
      </c>
      <c r="G521" s="146" t="s">
        <v>228</v>
      </c>
      <c r="H521" s="146" t="s">
        <v>228</v>
      </c>
      <c r="I521" s="146" t="s">
        <v>228</v>
      </c>
      <c r="J521" s="146" t="s">
        <v>234</v>
      </c>
      <c r="K521" s="146" t="s">
        <v>235</v>
      </c>
    </row>
    <row r="522" spans="1:11" x14ac:dyDescent="0.25">
      <c r="A522" s="146" t="s">
        <v>1328</v>
      </c>
      <c r="B522" s="146" t="s">
        <v>1329</v>
      </c>
      <c r="C522" s="146" t="s">
        <v>238</v>
      </c>
      <c r="D522" s="146" t="s">
        <v>239</v>
      </c>
      <c r="E522" s="146" t="s">
        <v>231</v>
      </c>
      <c r="F522" s="146" t="s">
        <v>228</v>
      </c>
      <c r="G522" s="146" t="s">
        <v>228</v>
      </c>
      <c r="H522" s="146" t="s">
        <v>228</v>
      </c>
      <c r="I522" s="146" t="s">
        <v>228</v>
      </c>
      <c r="J522" s="146" t="s">
        <v>1330</v>
      </c>
      <c r="K522" s="146" t="s">
        <v>235</v>
      </c>
    </row>
    <row r="523" spans="1:11" x14ac:dyDescent="0.25">
      <c r="A523" s="146" t="s">
        <v>1331</v>
      </c>
      <c r="B523" s="146" t="s">
        <v>1332</v>
      </c>
      <c r="C523" s="146" t="s">
        <v>238</v>
      </c>
      <c r="D523" s="146" t="s">
        <v>239</v>
      </c>
      <c r="E523" s="146" t="s">
        <v>231</v>
      </c>
      <c r="F523" s="146" t="s">
        <v>228</v>
      </c>
      <c r="G523" s="146" t="s">
        <v>228</v>
      </c>
      <c r="H523" s="146" t="s">
        <v>228</v>
      </c>
      <c r="I523" s="146" t="s">
        <v>228</v>
      </c>
      <c r="J523" s="146" t="s">
        <v>234</v>
      </c>
      <c r="K523" s="146" t="s">
        <v>235</v>
      </c>
    </row>
    <row r="524" spans="1:11" x14ac:dyDescent="0.25">
      <c r="A524" s="146" t="s">
        <v>1333</v>
      </c>
      <c r="B524" s="146" t="s">
        <v>1334</v>
      </c>
      <c r="C524" s="146" t="s">
        <v>238</v>
      </c>
      <c r="D524" s="146" t="s">
        <v>239</v>
      </c>
      <c r="E524" s="146" t="s">
        <v>231</v>
      </c>
      <c r="F524" s="146" t="s">
        <v>228</v>
      </c>
      <c r="G524" s="146" t="s">
        <v>228</v>
      </c>
      <c r="H524" s="146" t="s">
        <v>228</v>
      </c>
      <c r="I524" s="146" t="s">
        <v>228</v>
      </c>
      <c r="J524" s="146" t="s">
        <v>270</v>
      </c>
      <c r="K524" s="146" t="s">
        <v>235</v>
      </c>
    </row>
    <row r="525" spans="1:11" x14ac:dyDescent="0.25">
      <c r="A525" s="146" t="s">
        <v>1335</v>
      </c>
      <c r="B525" s="146" t="s">
        <v>1336</v>
      </c>
      <c r="C525" s="146" t="s">
        <v>238</v>
      </c>
      <c r="D525" s="146" t="s">
        <v>239</v>
      </c>
      <c r="E525" s="146" t="s">
        <v>231</v>
      </c>
      <c r="F525" s="146" t="s">
        <v>228</v>
      </c>
      <c r="G525" s="146" t="s">
        <v>228</v>
      </c>
      <c r="H525" s="146" t="s">
        <v>228</v>
      </c>
      <c r="I525" s="146" t="s">
        <v>228</v>
      </c>
      <c r="J525" s="146" t="s">
        <v>243</v>
      </c>
      <c r="K525" s="146" t="s">
        <v>341</v>
      </c>
    </row>
    <row r="526" spans="1:11" x14ac:dyDescent="0.25">
      <c r="A526" s="146" t="s">
        <v>1337</v>
      </c>
      <c r="B526" s="146" t="s">
        <v>1338</v>
      </c>
      <c r="C526" s="146" t="s">
        <v>238</v>
      </c>
      <c r="D526" s="146" t="s">
        <v>239</v>
      </c>
      <c r="E526" s="146" t="s">
        <v>231</v>
      </c>
      <c r="F526" s="146" t="s">
        <v>228</v>
      </c>
      <c r="G526" s="146" t="s">
        <v>228</v>
      </c>
      <c r="H526" s="146" t="s">
        <v>228</v>
      </c>
      <c r="I526" s="146" t="s">
        <v>228</v>
      </c>
      <c r="J526" s="146" t="s">
        <v>243</v>
      </c>
      <c r="K526" s="146" t="s">
        <v>235</v>
      </c>
    </row>
    <row r="527" spans="1:11" x14ac:dyDescent="0.25">
      <c r="A527" s="146" t="s">
        <v>1339</v>
      </c>
      <c r="B527" s="146" t="s">
        <v>1340</v>
      </c>
      <c r="C527" s="146" t="s">
        <v>238</v>
      </c>
      <c r="D527" s="146" t="s">
        <v>239</v>
      </c>
      <c r="E527" s="146" t="s">
        <v>231</v>
      </c>
      <c r="F527" s="146" t="s">
        <v>228</v>
      </c>
      <c r="G527" s="146" t="s">
        <v>228</v>
      </c>
      <c r="H527" s="146" t="s">
        <v>228</v>
      </c>
      <c r="I527" s="146" t="s">
        <v>228</v>
      </c>
      <c r="J527" s="146" t="s">
        <v>425</v>
      </c>
      <c r="K527" s="146" t="s">
        <v>341</v>
      </c>
    </row>
    <row r="528" spans="1:11" x14ac:dyDescent="0.25">
      <c r="A528" s="146" t="s">
        <v>1341</v>
      </c>
      <c r="B528" s="146" t="s">
        <v>1342</v>
      </c>
      <c r="C528" s="146" t="s">
        <v>238</v>
      </c>
      <c r="D528" s="146" t="s">
        <v>239</v>
      </c>
      <c r="E528" s="146" t="s">
        <v>231</v>
      </c>
      <c r="F528" s="146" t="s">
        <v>228</v>
      </c>
      <c r="G528" s="146" t="s">
        <v>228</v>
      </c>
      <c r="H528" s="146" t="s">
        <v>228</v>
      </c>
      <c r="I528" s="146" t="s">
        <v>228</v>
      </c>
      <c r="J528" s="146" t="s">
        <v>240</v>
      </c>
      <c r="K528" s="146" t="s">
        <v>235</v>
      </c>
    </row>
    <row r="529" spans="1:11" x14ac:dyDescent="0.25">
      <c r="A529" s="146" t="s">
        <v>1343</v>
      </c>
      <c r="B529" s="146" t="s">
        <v>1344</v>
      </c>
      <c r="C529" s="146" t="s">
        <v>238</v>
      </c>
      <c r="D529" s="146" t="s">
        <v>239</v>
      </c>
      <c r="E529" s="146" t="s">
        <v>231</v>
      </c>
      <c r="F529" s="146" t="s">
        <v>228</v>
      </c>
      <c r="G529" s="146" t="s">
        <v>228</v>
      </c>
      <c r="H529" s="146" t="s">
        <v>228</v>
      </c>
      <c r="I529" s="146" t="s">
        <v>228</v>
      </c>
      <c r="J529" s="146" t="s">
        <v>1345</v>
      </c>
      <c r="K529" s="146" t="s">
        <v>235</v>
      </c>
    </row>
    <row r="530" spans="1:11" x14ac:dyDescent="0.25">
      <c r="A530" s="146" t="s">
        <v>1346</v>
      </c>
      <c r="B530" s="146" t="s">
        <v>1347</v>
      </c>
      <c r="C530" s="146" t="s">
        <v>238</v>
      </c>
      <c r="D530" s="146" t="s">
        <v>239</v>
      </c>
      <c r="E530" s="146" t="s">
        <v>231</v>
      </c>
      <c r="F530" s="146" t="s">
        <v>228</v>
      </c>
      <c r="G530" s="146" t="s">
        <v>228</v>
      </c>
      <c r="H530" s="146" t="s">
        <v>228</v>
      </c>
      <c r="I530" s="146" t="s">
        <v>228</v>
      </c>
      <c r="J530" s="146" t="s">
        <v>243</v>
      </c>
      <c r="K530" s="146" t="s">
        <v>371</v>
      </c>
    </row>
    <row r="531" spans="1:11" x14ac:dyDescent="0.25">
      <c r="A531" s="146" t="s">
        <v>1348</v>
      </c>
      <c r="B531" s="146" t="s">
        <v>1349</v>
      </c>
      <c r="C531" s="146" t="s">
        <v>238</v>
      </c>
      <c r="D531" s="146" t="s">
        <v>239</v>
      </c>
      <c r="E531" s="146" t="s">
        <v>231</v>
      </c>
      <c r="F531" s="146" t="s">
        <v>228</v>
      </c>
      <c r="G531" s="146" t="s">
        <v>228</v>
      </c>
      <c r="H531" s="146" t="s">
        <v>228</v>
      </c>
      <c r="I531" s="146" t="s">
        <v>228</v>
      </c>
      <c r="J531" s="146" t="s">
        <v>1129</v>
      </c>
      <c r="K531" s="146" t="s">
        <v>235</v>
      </c>
    </row>
    <row r="532" spans="1:11" x14ac:dyDescent="0.25">
      <c r="A532" s="146" t="s">
        <v>1350</v>
      </c>
      <c r="B532" s="146" t="s">
        <v>1351</v>
      </c>
      <c r="C532" s="146" t="s">
        <v>238</v>
      </c>
      <c r="D532" s="146" t="s">
        <v>239</v>
      </c>
      <c r="E532" s="146" t="s">
        <v>231</v>
      </c>
      <c r="F532" s="146" t="s">
        <v>228</v>
      </c>
      <c r="G532" s="146" t="s">
        <v>228</v>
      </c>
      <c r="H532" s="146" t="s">
        <v>228</v>
      </c>
      <c r="I532" s="146" t="s">
        <v>228</v>
      </c>
      <c r="J532" s="146" t="s">
        <v>240</v>
      </c>
      <c r="K532" s="146" t="s">
        <v>341</v>
      </c>
    </row>
    <row r="533" spans="1:11" x14ac:dyDescent="0.25">
      <c r="A533" s="146" t="s">
        <v>1352</v>
      </c>
      <c r="B533" s="146" t="s">
        <v>1353</v>
      </c>
      <c r="C533" s="146" t="s">
        <v>238</v>
      </c>
      <c r="D533" s="146" t="s">
        <v>239</v>
      </c>
      <c r="E533" s="146" t="s">
        <v>231</v>
      </c>
      <c r="F533" s="146" t="s">
        <v>228</v>
      </c>
      <c r="G533" s="146" t="s">
        <v>228</v>
      </c>
      <c r="H533" s="146" t="s">
        <v>228</v>
      </c>
      <c r="I533" s="146" t="s">
        <v>228</v>
      </c>
      <c r="J533" s="146" t="s">
        <v>422</v>
      </c>
      <c r="K533" s="146" t="s">
        <v>235</v>
      </c>
    </row>
    <row r="534" spans="1:11" x14ac:dyDescent="0.25">
      <c r="A534" s="146" t="s">
        <v>1354</v>
      </c>
      <c r="B534" s="146" t="s">
        <v>1355</v>
      </c>
      <c r="C534" s="146" t="s">
        <v>238</v>
      </c>
      <c r="D534" s="146" t="s">
        <v>239</v>
      </c>
      <c r="E534" s="146" t="s">
        <v>231</v>
      </c>
      <c r="F534" s="146" t="s">
        <v>228</v>
      </c>
      <c r="G534" s="146" t="s">
        <v>228</v>
      </c>
      <c r="H534" s="146" t="s">
        <v>228</v>
      </c>
      <c r="I534" s="146" t="s">
        <v>228</v>
      </c>
      <c r="J534" s="146" t="s">
        <v>240</v>
      </c>
      <c r="K534" s="146" t="s">
        <v>235</v>
      </c>
    </row>
    <row r="535" spans="1:11" x14ac:dyDescent="0.25">
      <c r="A535" s="146" t="s">
        <v>1356</v>
      </c>
      <c r="B535" s="146" t="s">
        <v>1357</v>
      </c>
      <c r="C535" s="146" t="s">
        <v>238</v>
      </c>
      <c r="D535" s="146" t="s">
        <v>239</v>
      </c>
      <c r="E535" s="146" t="s">
        <v>231</v>
      </c>
      <c r="F535" s="146" t="s">
        <v>228</v>
      </c>
      <c r="G535" s="146" t="s">
        <v>228</v>
      </c>
      <c r="H535" s="146" t="s">
        <v>228</v>
      </c>
      <c r="I535" s="146" t="s">
        <v>228</v>
      </c>
      <c r="J535" s="146" t="s">
        <v>240</v>
      </c>
      <c r="K535" s="146" t="s">
        <v>235</v>
      </c>
    </row>
    <row r="536" spans="1:11" x14ac:dyDescent="0.25">
      <c r="A536" s="146" t="s">
        <v>1358</v>
      </c>
      <c r="B536" s="146" t="s">
        <v>1359</v>
      </c>
      <c r="C536" s="146" t="s">
        <v>238</v>
      </c>
      <c r="D536" s="146" t="s">
        <v>239</v>
      </c>
      <c r="E536" s="146" t="s">
        <v>231</v>
      </c>
      <c r="F536" s="146" t="s">
        <v>228</v>
      </c>
      <c r="G536" s="146" t="s">
        <v>228</v>
      </c>
      <c r="H536" s="146" t="s">
        <v>228</v>
      </c>
      <c r="I536" s="146" t="s">
        <v>228</v>
      </c>
      <c r="J536" s="146" t="s">
        <v>240</v>
      </c>
      <c r="K536" s="146" t="s">
        <v>341</v>
      </c>
    </row>
    <row r="537" spans="1:11" x14ac:dyDescent="0.25">
      <c r="A537" s="146" t="s">
        <v>1360</v>
      </c>
      <c r="B537" s="146" t="s">
        <v>1361</v>
      </c>
      <c r="C537" s="146" t="s">
        <v>238</v>
      </c>
      <c r="D537" s="146" t="s">
        <v>239</v>
      </c>
      <c r="E537" s="146" t="s">
        <v>231</v>
      </c>
      <c r="F537" s="146" t="s">
        <v>228</v>
      </c>
      <c r="G537" s="146" t="s">
        <v>228</v>
      </c>
      <c r="H537" s="146" t="s">
        <v>228</v>
      </c>
      <c r="I537" s="146" t="s">
        <v>228</v>
      </c>
      <c r="J537" s="146" t="s">
        <v>240</v>
      </c>
      <c r="K537" s="146" t="s">
        <v>235</v>
      </c>
    </row>
    <row r="538" spans="1:11" x14ac:dyDescent="0.25">
      <c r="A538" s="146" t="s">
        <v>1362</v>
      </c>
      <c r="B538" s="146" t="s">
        <v>1363</v>
      </c>
      <c r="C538" s="146" t="s">
        <v>238</v>
      </c>
      <c r="D538" s="146" t="s">
        <v>239</v>
      </c>
      <c r="E538" s="146" t="s">
        <v>231</v>
      </c>
      <c r="F538" s="146" t="s">
        <v>228</v>
      </c>
      <c r="G538" s="146" t="s">
        <v>228</v>
      </c>
      <c r="H538" s="146" t="s">
        <v>228</v>
      </c>
      <c r="I538" s="146" t="s">
        <v>228</v>
      </c>
      <c r="J538" s="146" t="s">
        <v>240</v>
      </c>
      <c r="K538" s="146" t="s">
        <v>341</v>
      </c>
    </row>
    <row r="539" spans="1:11" x14ac:dyDescent="0.25">
      <c r="A539" s="146" t="s">
        <v>1364</v>
      </c>
      <c r="B539" s="146" t="s">
        <v>1365</v>
      </c>
      <c r="C539" s="146" t="s">
        <v>238</v>
      </c>
      <c r="D539" s="146" t="s">
        <v>239</v>
      </c>
      <c r="E539" s="146" t="s">
        <v>231</v>
      </c>
      <c r="F539" s="146" t="s">
        <v>228</v>
      </c>
      <c r="G539" s="146" t="s">
        <v>228</v>
      </c>
      <c r="H539" s="146" t="s">
        <v>228</v>
      </c>
      <c r="I539" s="146" t="s">
        <v>228</v>
      </c>
      <c r="J539" s="146" t="s">
        <v>386</v>
      </c>
      <c r="K539" s="146" t="s">
        <v>235</v>
      </c>
    </row>
    <row r="540" spans="1:11" x14ac:dyDescent="0.25">
      <c r="A540" s="146" t="s">
        <v>1366</v>
      </c>
      <c r="B540" s="146" t="s">
        <v>1367</v>
      </c>
      <c r="C540" s="146" t="s">
        <v>238</v>
      </c>
      <c r="D540" s="146" t="s">
        <v>239</v>
      </c>
      <c r="E540" s="146" t="s">
        <v>231</v>
      </c>
      <c r="F540" s="146" t="s">
        <v>228</v>
      </c>
      <c r="G540" s="146" t="s">
        <v>228</v>
      </c>
      <c r="H540" s="146" t="s">
        <v>228</v>
      </c>
      <c r="I540" s="146" t="s">
        <v>228</v>
      </c>
      <c r="J540" s="146" t="s">
        <v>793</v>
      </c>
      <c r="K540" s="146" t="s">
        <v>235</v>
      </c>
    </row>
    <row r="541" spans="1:11" x14ac:dyDescent="0.25">
      <c r="A541" s="146" t="s">
        <v>1368</v>
      </c>
      <c r="B541" s="146" t="s">
        <v>1369</v>
      </c>
      <c r="C541" s="146" t="s">
        <v>238</v>
      </c>
      <c r="D541" s="146" t="s">
        <v>239</v>
      </c>
      <c r="E541" s="146" t="s">
        <v>231</v>
      </c>
      <c r="F541" s="146" t="s">
        <v>228</v>
      </c>
      <c r="G541" s="146" t="s">
        <v>228</v>
      </c>
      <c r="H541" s="146" t="s">
        <v>228</v>
      </c>
      <c r="I541" s="146" t="s">
        <v>228</v>
      </c>
      <c r="J541" s="146" t="s">
        <v>425</v>
      </c>
      <c r="K541" s="146" t="s">
        <v>341</v>
      </c>
    </row>
    <row r="542" spans="1:11" x14ac:dyDescent="0.25">
      <c r="A542" s="146" t="s">
        <v>1370</v>
      </c>
      <c r="B542" s="146" t="s">
        <v>1371</v>
      </c>
      <c r="C542" s="146" t="s">
        <v>238</v>
      </c>
      <c r="D542" s="146" t="s">
        <v>239</v>
      </c>
      <c r="E542" s="146" t="s">
        <v>231</v>
      </c>
      <c r="F542" s="146" t="s">
        <v>228</v>
      </c>
      <c r="G542" s="146" t="s">
        <v>228</v>
      </c>
      <c r="H542" s="146" t="s">
        <v>228</v>
      </c>
      <c r="I542" s="146" t="s">
        <v>228</v>
      </c>
      <c r="J542" s="146" t="s">
        <v>243</v>
      </c>
      <c r="K542" s="146" t="s">
        <v>235</v>
      </c>
    </row>
    <row r="543" spans="1:11" x14ac:dyDescent="0.25">
      <c r="A543" s="146" t="s">
        <v>1372</v>
      </c>
      <c r="B543" s="146" t="s">
        <v>1373</v>
      </c>
      <c r="C543" s="146" t="s">
        <v>238</v>
      </c>
      <c r="D543" s="146" t="s">
        <v>239</v>
      </c>
      <c r="E543" s="146" t="s">
        <v>231</v>
      </c>
      <c r="F543" s="146" t="s">
        <v>228</v>
      </c>
      <c r="G543" s="146" t="s">
        <v>228</v>
      </c>
      <c r="H543" s="146" t="s">
        <v>228</v>
      </c>
      <c r="I543" s="146" t="s">
        <v>228</v>
      </c>
      <c r="J543" s="146" t="s">
        <v>383</v>
      </c>
      <c r="K543" s="146" t="s">
        <v>235</v>
      </c>
    </row>
    <row r="544" spans="1:11" x14ac:dyDescent="0.25">
      <c r="A544" s="146" t="s">
        <v>1374</v>
      </c>
      <c r="B544" s="146" t="s">
        <v>1375</v>
      </c>
      <c r="C544" s="146" t="s">
        <v>238</v>
      </c>
      <c r="D544" s="146" t="s">
        <v>239</v>
      </c>
      <c r="E544" s="146" t="s">
        <v>231</v>
      </c>
      <c r="F544" s="146" t="s">
        <v>228</v>
      </c>
      <c r="G544" s="146" t="s">
        <v>228</v>
      </c>
      <c r="H544" s="146" t="s">
        <v>228</v>
      </c>
      <c r="I544" s="146" t="s">
        <v>228</v>
      </c>
      <c r="J544" s="146" t="s">
        <v>1376</v>
      </c>
      <c r="K544" s="146" t="s">
        <v>235</v>
      </c>
    </row>
    <row r="545" spans="1:11" x14ac:dyDescent="0.25">
      <c r="A545" s="146" t="s">
        <v>1377</v>
      </c>
      <c r="B545" s="146" t="s">
        <v>1378</v>
      </c>
      <c r="C545" s="146" t="s">
        <v>238</v>
      </c>
      <c r="D545" s="146" t="s">
        <v>239</v>
      </c>
      <c r="E545" s="146" t="s">
        <v>231</v>
      </c>
      <c r="F545" s="146" t="s">
        <v>228</v>
      </c>
      <c r="G545" s="146" t="s">
        <v>228</v>
      </c>
      <c r="H545" s="146" t="s">
        <v>228</v>
      </c>
      <c r="I545" s="146" t="s">
        <v>228</v>
      </c>
      <c r="J545" s="146" t="s">
        <v>425</v>
      </c>
      <c r="K545" s="146" t="s">
        <v>341</v>
      </c>
    </row>
    <row r="546" spans="1:11" x14ac:dyDescent="0.25">
      <c r="A546" s="146" t="s">
        <v>1379</v>
      </c>
      <c r="B546" s="146" t="s">
        <v>377</v>
      </c>
      <c r="C546" s="146" t="s">
        <v>238</v>
      </c>
      <c r="D546" s="146" t="s">
        <v>239</v>
      </c>
      <c r="E546" s="146" t="s">
        <v>231</v>
      </c>
      <c r="F546" s="146" t="s">
        <v>228</v>
      </c>
      <c r="G546" s="146" t="s">
        <v>228</v>
      </c>
      <c r="H546" s="146" t="s">
        <v>228</v>
      </c>
      <c r="I546" s="146" t="s">
        <v>228</v>
      </c>
      <c r="J546" s="146" t="s">
        <v>243</v>
      </c>
      <c r="K546" s="146" t="s">
        <v>341</v>
      </c>
    </row>
    <row r="547" spans="1:11" x14ac:dyDescent="0.25">
      <c r="A547" s="146" t="s">
        <v>1380</v>
      </c>
      <c r="B547" s="146" t="s">
        <v>1381</v>
      </c>
      <c r="C547" s="146" t="s">
        <v>238</v>
      </c>
      <c r="D547" s="146" t="s">
        <v>239</v>
      </c>
      <c r="E547" s="146" t="s">
        <v>231</v>
      </c>
      <c r="F547" s="146" t="s">
        <v>228</v>
      </c>
      <c r="G547" s="146" t="s">
        <v>228</v>
      </c>
      <c r="H547" s="146" t="s">
        <v>228</v>
      </c>
      <c r="I547" s="146" t="s">
        <v>228</v>
      </c>
      <c r="J547" s="146" t="s">
        <v>425</v>
      </c>
      <c r="K547" s="146" t="s">
        <v>341</v>
      </c>
    </row>
    <row r="548" spans="1:11" x14ac:dyDescent="0.25">
      <c r="A548" s="146" t="s">
        <v>1382</v>
      </c>
      <c r="B548" s="146" t="s">
        <v>1383</v>
      </c>
      <c r="C548" s="146" t="s">
        <v>238</v>
      </c>
      <c r="D548" s="146" t="s">
        <v>239</v>
      </c>
      <c r="E548" s="146" t="s">
        <v>231</v>
      </c>
      <c r="F548" s="146" t="s">
        <v>228</v>
      </c>
      <c r="G548" s="146" t="s">
        <v>228</v>
      </c>
      <c r="H548" s="146" t="s">
        <v>228</v>
      </c>
      <c r="I548" s="146" t="s">
        <v>228</v>
      </c>
      <c r="J548" s="146" t="s">
        <v>408</v>
      </c>
      <c r="K548" s="146" t="s">
        <v>235</v>
      </c>
    </row>
    <row r="549" spans="1:11" x14ac:dyDescent="0.25">
      <c r="A549" s="146" t="s">
        <v>1384</v>
      </c>
      <c r="B549" s="146" t="s">
        <v>1383</v>
      </c>
      <c r="C549" s="146" t="s">
        <v>238</v>
      </c>
      <c r="D549" s="146" t="s">
        <v>239</v>
      </c>
      <c r="E549" s="146" t="s">
        <v>231</v>
      </c>
      <c r="F549" s="146" t="s">
        <v>228</v>
      </c>
      <c r="G549" s="146" t="s">
        <v>228</v>
      </c>
      <c r="H549" s="146" t="s">
        <v>228</v>
      </c>
      <c r="I549" s="146" t="s">
        <v>228</v>
      </c>
      <c r="J549" s="146" t="s">
        <v>408</v>
      </c>
      <c r="K549" s="146" t="s">
        <v>235</v>
      </c>
    </row>
    <row r="550" spans="1:11" x14ac:dyDescent="0.25">
      <c r="A550" s="146" t="s">
        <v>1385</v>
      </c>
      <c r="B550" s="146" t="s">
        <v>1386</v>
      </c>
      <c r="C550" s="146" t="s">
        <v>238</v>
      </c>
      <c r="D550" s="146" t="s">
        <v>239</v>
      </c>
      <c r="E550" s="146" t="s">
        <v>231</v>
      </c>
      <c r="F550" s="146" t="s">
        <v>228</v>
      </c>
      <c r="G550" s="146" t="s">
        <v>228</v>
      </c>
      <c r="H550" s="146" t="s">
        <v>228</v>
      </c>
      <c r="I550" s="146" t="s">
        <v>228</v>
      </c>
      <c r="J550" s="146" t="s">
        <v>408</v>
      </c>
      <c r="K550" s="146" t="s">
        <v>235</v>
      </c>
    </row>
    <row r="551" spans="1:11" x14ac:dyDescent="0.25">
      <c r="A551" s="146" t="s">
        <v>1387</v>
      </c>
      <c r="B551" s="146" t="s">
        <v>1388</v>
      </c>
      <c r="C551" s="146" t="s">
        <v>238</v>
      </c>
      <c r="D551" s="146" t="s">
        <v>239</v>
      </c>
      <c r="E551" s="146" t="s">
        <v>231</v>
      </c>
      <c r="F551" s="146" t="s">
        <v>228</v>
      </c>
      <c r="G551" s="146" t="s">
        <v>228</v>
      </c>
      <c r="H551" s="146" t="s">
        <v>228</v>
      </c>
      <c r="I551" s="146" t="s">
        <v>228</v>
      </c>
      <c r="J551" s="146" t="s">
        <v>408</v>
      </c>
      <c r="K551" s="146" t="s">
        <v>235</v>
      </c>
    </row>
    <row r="552" spans="1:11" x14ac:dyDescent="0.25">
      <c r="A552" s="146" t="s">
        <v>1389</v>
      </c>
      <c r="B552" s="146" t="s">
        <v>1390</v>
      </c>
      <c r="C552" s="146" t="s">
        <v>238</v>
      </c>
      <c r="D552" s="146" t="s">
        <v>239</v>
      </c>
      <c r="E552" s="146" t="s">
        <v>231</v>
      </c>
      <c r="F552" s="146" t="s">
        <v>228</v>
      </c>
      <c r="G552" s="146" t="s">
        <v>228</v>
      </c>
      <c r="H552" s="146" t="s">
        <v>228</v>
      </c>
      <c r="I552" s="146" t="s">
        <v>228</v>
      </c>
      <c r="J552" s="146" t="s">
        <v>270</v>
      </c>
      <c r="K552" s="146" t="s">
        <v>235</v>
      </c>
    </row>
    <row r="553" spans="1:11" x14ac:dyDescent="0.25">
      <c r="A553" s="146" t="s">
        <v>1391</v>
      </c>
      <c r="B553" s="146" t="s">
        <v>1392</v>
      </c>
      <c r="C553" s="146" t="s">
        <v>238</v>
      </c>
      <c r="D553" s="146" t="s">
        <v>239</v>
      </c>
      <c r="E553" s="146" t="s">
        <v>231</v>
      </c>
      <c r="F553" s="146" t="s">
        <v>228</v>
      </c>
      <c r="G553" s="146" t="s">
        <v>228</v>
      </c>
      <c r="H553" s="146" t="s">
        <v>228</v>
      </c>
      <c r="I553" s="146" t="s">
        <v>228</v>
      </c>
      <c r="J553" s="146" t="s">
        <v>243</v>
      </c>
      <c r="K553" s="146" t="s">
        <v>235</v>
      </c>
    </row>
    <row r="554" spans="1:11" x14ac:dyDescent="0.25">
      <c r="A554" s="146" t="s">
        <v>1393</v>
      </c>
      <c r="B554" s="146" t="s">
        <v>1394</v>
      </c>
      <c r="C554" s="146" t="s">
        <v>238</v>
      </c>
      <c r="D554" s="146" t="s">
        <v>239</v>
      </c>
      <c r="E554" s="146" t="s">
        <v>231</v>
      </c>
      <c r="F554" s="146" t="s">
        <v>228</v>
      </c>
      <c r="G554" s="146" t="s">
        <v>228</v>
      </c>
      <c r="H554" s="146" t="s">
        <v>228</v>
      </c>
      <c r="I554" s="146" t="s">
        <v>228</v>
      </c>
      <c r="J554" s="146" t="s">
        <v>408</v>
      </c>
      <c r="K554" s="146" t="s">
        <v>235</v>
      </c>
    </row>
    <row r="555" spans="1:11" x14ac:dyDescent="0.25">
      <c r="A555" s="146" t="s">
        <v>1395</v>
      </c>
      <c r="B555" s="146" t="s">
        <v>1396</v>
      </c>
      <c r="C555" s="146" t="s">
        <v>238</v>
      </c>
      <c r="D555" s="146" t="s">
        <v>239</v>
      </c>
      <c r="E555" s="146" t="s">
        <v>231</v>
      </c>
      <c r="F555" s="146" t="s">
        <v>228</v>
      </c>
      <c r="G555" s="146" t="s">
        <v>228</v>
      </c>
      <c r="H555" s="146" t="s">
        <v>228</v>
      </c>
      <c r="I555" s="146" t="s">
        <v>228</v>
      </c>
      <c r="J555" s="146" t="s">
        <v>408</v>
      </c>
      <c r="K555" s="146" t="s">
        <v>235</v>
      </c>
    </row>
    <row r="556" spans="1:11" x14ac:dyDescent="0.25">
      <c r="A556" s="146" t="s">
        <v>1397</v>
      </c>
      <c r="B556" s="146" t="s">
        <v>1398</v>
      </c>
      <c r="C556" s="146" t="s">
        <v>238</v>
      </c>
      <c r="D556" s="146" t="s">
        <v>239</v>
      </c>
      <c r="E556" s="146" t="s">
        <v>231</v>
      </c>
      <c r="F556" s="146" t="s">
        <v>228</v>
      </c>
      <c r="G556" s="146" t="s">
        <v>228</v>
      </c>
      <c r="H556" s="146" t="s">
        <v>228</v>
      </c>
      <c r="I556" s="146" t="s">
        <v>228</v>
      </c>
      <c r="J556" s="146" t="s">
        <v>243</v>
      </c>
      <c r="K556" s="146" t="s">
        <v>235</v>
      </c>
    </row>
    <row r="557" spans="1:11" x14ac:dyDescent="0.25">
      <c r="A557" s="146" t="s">
        <v>1399</v>
      </c>
      <c r="B557" s="146" t="s">
        <v>1400</v>
      </c>
      <c r="C557" s="146" t="s">
        <v>238</v>
      </c>
      <c r="D557" s="146" t="s">
        <v>239</v>
      </c>
      <c r="E557" s="146" t="s">
        <v>231</v>
      </c>
      <c r="F557" s="146" t="s">
        <v>228</v>
      </c>
      <c r="G557" s="146" t="s">
        <v>228</v>
      </c>
      <c r="H557" s="146" t="s">
        <v>228</v>
      </c>
      <c r="I557" s="146" t="s">
        <v>228</v>
      </c>
      <c r="J557" s="146" t="s">
        <v>243</v>
      </c>
      <c r="K557" s="146" t="s">
        <v>235</v>
      </c>
    </row>
    <row r="558" spans="1:11" x14ac:dyDescent="0.25">
      <c r="A558" s="146" t="s">
        <v>232</v>
      </c>
      <c r="B558" s="146" t="s">
        <v>1401</v>
      </c>
      <c r="C558" s="146" t="s">
        <v>238</v>
      </c>
      <c r="D558" s="146" t="s">
        <v>239</v>
      </c>
      <c r="E558" s="146" t="s">
        <v>231</v>
      </c>
      <c r="F558" s="146" t="s">
        <v>228</v>
      </c>
      <c r="G558" s="146" t="s">
        <v>228</v>
      </c>
      <c r="H558" s="146" t="s">
        <v>228</v>
      </c>
      <c r="I558" s="146" t="s">
        <v>228</v>
      </c>
      <c r="J558" s="146" t="s">
        <v>234</v>
      </c>
      <c r="K558" s="146" t="s">
        <v>235</v>
      </c>
    </row>
    <row r="559" spans="1:11" x14ac:dyDescent="0.25">
      <c r="A559" s="146" t="s">
        <v>1402</v>
      </c>
      <c r="B559" s="146" t="s">
        <v>1403</v>
      </c>
      <c r="C559" s="146" t="s">
        <v>238</v>
      </c>
      <c r="D559" s="146" t="s">
        <v>239</v>
      </c>
      <c r="E559" s="146" t="s">
        <v>231</v>
      </c>
      <c r="F559" s="146" t="s">
        <v>228</v>
      </c>
      <c r="G559" s="146" t="s">
        <v>228</v>
      </c>
      <c r="H559" s="146" t="s">
        <v>228</v>
      </c>
      <c r="I559" s="146" t="s">
        <v>228</v>
      </c>
      <c r="J559" s="146" t="s">
        <v>1404</v>
      </c>
      <c r="K559" s="146" t="s">
        <v>235</v>
      </c>
    </row>
    <row r="560" spans="1:11" x14ac:dyDescent="0.25">
      <c r="A560" s="146" t="s">
        <v>1405</v>
      </c>
      <c r="B560" s="146" t="s">
        <v>1406</v>
      </c>
      <c r="C560" s="146" t="s">
        <v>238</v>
      </c>
      <c r="D560" s="146" t="s">
        <v>239</v>
      </c>
      <c r="E560" s="146" t="s">
        <v>231</v>
      </c>
      <c r="F560" s="146" t="s">
        <v>228</v>
      </c>
      <c r="G560" s="146" t="s">
        <v>228</v>
      </c>
      <c r="H560" s="146" t="s">
        <v>228</v>
      </c>
      <c r="I560" s="146" t="s">
        <v>228</v>
      </c>
      <c r="J560" s="146" t="s">
        <v>243</v>
      </c>
      <c r="K560" s="146" t="s">
        <v>235</v>
      </c>
    </row>
    <row r="561" spans="1:11" x14ac:dyDescent="0.25">
      <c r="A561" s="146" t="s">
        <v>1407</v>
      </c>
      <c r="B561" s="146" t="s">
        <v>1408</v>
      </c>
      <c r="C561" s="146" t="s">
        <v>238</v>
      </c>
      <c r="D561" s="146" t="s">
        <v>239</v>
      </c>
      <c r="E561" s="146" t="s">
        <v>231</v>
      </c>
      <c r="F561" s="146" t="s">
        <v>228</v>
      </c>
      <c r="G561" s="146" t="s">
        <v>228</v>
      </c>
      <c r="H561" s="146" t="s">
        <v>228</v>
      </c>
      <c r="I561" s="146" t="s">
        <v>228</v>
      </c>
      <c r="J561" s="146" t="s">
        <v>243</v>
      </c>
      <c r="K561" s="146" t="s">
        <v>235</v>
      </c>
    </row>
    <row r="562" spans="1:11" x14ac:dyDescent="0.25">
      <c r="A562" s="146" t="s">
        <v>1409</v>
      </c>
      <c r="B562" s="146" t="s">
        <v>1410</v>
      </c>
      <c r="C562" s="146" t="s">
        <v>238</v>
      </c>
      <c r="D562" s="146" t="s">
        <v>239</v>
      </c>
      <c r="E562" s="146" t="s">
        <v>231</v>
      </c>
      <c r="F562" s="146" t="s">
        <v>228</v>
      </c>
      <c r="G562" s="146" t="s">
        <v>228</v>
      </c>
      <c r="H562" s="146" t="s">
        <v>228</v>
      </c>
      <c r="I562" s="146" t="s">
        <v>228</v>
      </c>
      <c r="J562" s="146" t="s">
        <v>243</v>
      </c>
      <c r="K562" s="146" t="s">
        <v>235</v>
      </c>
    </row>
    <row r="563" spans="1:11" x14ac:dyDescent="0.25">
      <c r="A563" s="146" t="s">
        <v>1411</v>
      </c>
      <c r="B563" s="146" t="s">
        <v>1412</v>
      </c>
      <c r="C563" s="146" t="s">
        <v>238</v>
      </c>
      <c r="D563" s="146" t="s">
        <v>239</v>
      </c>
      <c r="E563" s="146" t="s">
        <v>231</v>
      </c>
      <c r="F563" s="146" t="s">
        <v>228</v>
      </c>
      <c r="G563" s="146" t="s">
        <v>228</v>
      </c>
      <c r="H563" s="146" t="s">
        <v>228</v>
      </c>
      <c r="I563" s="146" t="s">
        <v>228</v>
      </c>
      <c r="J563" s="146" t="s">
        <v>1413</v>
      </c>
      <c r="K563" s="146" t="s">
        <v>235</v>
      </c>
    </row>
    <row r="564" spans="1:11" x14ac:dyDescent="0.25">
      <c r="A564" s="146" t="s">
        <v>1414</v>
      </c>
      <c r="B564" s="146" t="s">
        <v>1415</v>
      </c>
      <c r="C564" s="146" t="s">
        <v>238</v>
      </c>
      <c r="D564" s="146" t="s">
        <v>239</v>
      </c>
      <c r="E564" s="146" t="s">
        <v>231</v>
      </c>
      <c r="F564" s="146" t="s">
        <v>228</v>
      </c>
      <c r="G564" s="146" t="s">
        <v>228</v>
      </c>
      <c r="H564" s="146" t="s">
        <v>228</v>
      </c>
      <c r="I564" s="146" t="s">
        <v>228</v>
      </c>
      <c r="J564" s="146" t="s">
        <v>1413</v>
      </c>
      <c r="K564" s="146" t="s">
        <v>235</v>
      </c>
    </row>
    <row r="565" spans="1:11" x14ac:dyDescent="0.25">
      <c r="A565" s="146" t="s">
        <v>1416</v>
      </c>
      <c r="B565" s="146" t="s">
        <v>1417</v>
      </c>
      <c r="C565" s="146" t="s">
        <v>238</v>
      </c>
      <c r="D565" s="146" t="s">
        <v>239</v>
      </c>
      <c r="E565" s="146" t="s">
        <v>231</v>
      </c>
      <c r="F565" s="146" t="s">
        <v>228</v>
      </c>
      <c r="G565" s="146" t="s">
        <v>228</v>
      </c>
      <c r="H565" s="146" t="s">
        <v>228</v>
      </c>
      <c r="I565" s="146" t="s">
        <v>228</v>
      </c>
      <c r="J565" s="146" t="s">
        <v>1413</v>
      </c>
      <c r="K565" s="146" t="s">
        <v>235</v>
      </c>
    </row>
    <row r="566" spans="1:11" x14ac:dyDescent="0.25">
      <c r="A566" s="146" t="s">
        <v>1418</v>
      </c>
      <c r="B566" s="146" t="s">
        <v>1419</v>
      </c>
      <c r="C566" s="146" t="s">
        <v>238</v>
      </c>
      <c r="D566" s="146" t="s">
        <v>239</v>
      </c>
      <c r="E566" s="146" t="s">
        <v>231</v>
      </c>
      <c r="F566" s="146" t="s">
        <v>228</v>
      </c>
      <c r="G566" s="146" t="s">
        <v>228</v>
      </c>
      <c r="H566" s="146" t="s">
        <v>228</v>
      </c>
      <c r="I566" s="146" t="s">
        <v>228</v>
      </c>
      <c r="J566" s="146" t="s">
        <v>1413</v>
      </c>
      <c r="K566" s="146" t="s">
        <v>235</v>
      </c>
    </row>
    <row r="567" spans="1:11" x14ac:dyDescent="0.25">
      <c r="A567" s="146" t="s">
        <v>1420</v>
      </c>
      <c r="B567" s="146" t="s">
        <v>1421</v>
      </c>
      <c r="C567" s="146" t="s">
        <v>238</v>
      </c>
      <c r="D567" s="146" t="s">
        <v>239</v>
      </c>
      <c r="E567" s="146" t="s">
        <v>231</v>
      </c>
      <c r="F567" s="146" t="s">
        <v>228</v>
      </c>
      <c r="G567" s="146" t="s">
        <v>228</v>
      </c>
      <c r="H567" s="146" t="s">
        <v>228</v>
      </c>
      <c r="I567" s="146" t="s">
        <v>228</v>
      </c>
      <c r="J567" s="146" t="s">
        <v>1413</v>
      </c>
      <c r="K567" s="146" t="s">
        <v>235</v>
      </c>
    </row>
    <row r="568" spans="1:11" x14ac:dyDescent="0.25">
      <c r="A568" s="146" t="s">
        <v>1422</v>
      </c>
      <c r="B568" s="146" t="s">
        <v>1423</v>
      </c>
      <c r="C568" s="146" t="s">
        <v>238</v>
      </c>
      <c r="D568" s="146" t="s">
        <v>239</v>
      </c>
      <c r="E568" s="146" t="s">
        <v>231</v>
      </c>
      <c r="F568" s="146" t="s">
        <v>228</v>
      </c>
      <c r="G568" s="146" t="s">
        <v>228</v>
      </c>
      <c r="H568" s="146" t="s">
        <v>228</v>
      </c>
      <c r="I568" s="146" t="s">
        <v>228</v>
      </c>
      <c r="J568" s="146" t="s">
        <v>1413</v>
      </c>
      <c r="K568" s="146" t="s">
        <v>235</v>
      </c>
    </row>
    <row r="569" spans="1:11" x14ac:dyDescent="0.25">
      <c r="A569" s="146" t="s">
        <v>1424</v>
      </c>
      <c r="B569" s="146" t="s">
        <v>1425</v>
      </c>
      <c r="C569" s="146" t="s">
        <v>238</v>
      </c>
      <c r="D569" s="146" t="s">
        <v>239</v>
      </c>
      <c r="E569" s="146" t="s">
        <v>231</v>
      </c>
      <c r="F569" s="146" t="s">
        <v>228</v>
      </c>
      <c r="G569" s="146" t="s">
        <v>228</v>
      </c>
      <c r="H569" s="146" t="s">
        <v>228</v>
      </c>
      <c r="I569" s="146" t="s">
        <v>228</v>
      </c>
      <c r="J569" s="146" t="s">
        <v>1413</v>
      </c>
      <c r="K569" s="146" t="s">
        <v>235</v>
      </c>
    </row>
    <row r="570" spans="1:11" x14ac:dyDescent="0.25">
      <c r="A570" s="146" t="s">
        <v>1426</v>
      </c>
      <c r="B570" s="146" t="s">
        <v>1427</v>
      </c>
      <c r="C570" s="146" t="s">
        <v>238</v>
      </c>
      <c r="D570" s="146" t="s">
        <v>239</v>
      </c>
      <c r="E570" s="146" t="s">
        <v>231</v>
      </c>
      <c r="F570" s="146" t="s">
        <v>228</v>
      </c>
      <c r="G570" s="146" t="s">
        <v>228</v>
      </c>
      <c r="H570" s="146" t="s">
        <v>228</v>
      </c>
      <c r="I570" s="146" t="s">
        <v>228</v>
      </c>
      <c r="J570" s="146" t="s">
        <v>1413</v>
      </c>
      <c r="K570" s="146" t="s">
        <v>235</v>
      </c>
    </row>
    <row r="571" spans="1:11" x14ac:dyDescent="0.25">
      <c r="A571" s="146" t="s">
        <v>1428</v>
      </c>
      <c r="B571" s="146" t="s">
        <v>1429</v>
      </c>
      <c r="C571" s="146" t="s">
        <v>238</v>
      </c>
      <c r="D571" s="146" t="s">
        <v>239</v>
      </c>
      <c r="E571" s="146" t="s">
        <v>231</v>
      </c>
      <c r="F571" s="146" t="s">
        <v>228</v>
      </c>
      <c r="G571" s="146" t="s">
        <v>228</v>
      </c>
      <c r="H571" s="146" t="s">
        <v>228</v>
      </c>
      <c r="I571" s="146" t="s">
        <v>228</v>
      </c>
      <c r="J571" s="146" t="s">
        <v>1413</v>
      </c>
      <c r="K571" s="146" t="s">
        <v>235</v>
      </c>
    </row>
    <row r="572" spans="1:11" x14ac:dyDescent="0.25">
      <c r="A572" s="146" t="s">
        <v>1430</v>
      </c>
      <c r="B572" s="146" t="s">
        <v>1431</v>
      </c>
      <c r="C572" s="146" t="s">
        <v>238</v>
      </c>
      <c r="D572" s="146" t="s">
        <v>239</v>
      </c>
      <c r="E572" s="146" t="s">
        <v>231</v>
      </c>
      <c r="F572" s="146" t="s">
        <v>228</v>
      </c>
      <c r="G572" s="146" t="s">
        <v>228</v>
      </c>
      <c r="H572" s="146" t="s">
        <v>228</v>
      </c>
      <c r="I572" s="146" t="s">
        <v>228</v>
      </c>
      <c r="J572" s="146" t="s">
        <v>1413</v>
      </c>
      <c r="K572" s="146" t="s">
        <v>235</v>
      </c>
    </row>
    <row r="573" spans="1:11" x14ac:dyDescent="0.25">
      <c r="A573" s="146" t="s">
        <v>1432</v>
      </c>
      <c r="B573" s="146" t="s">
        <v>1433</v>
      </c>
      <c r="C573" s="146" t="s">
        <v>238</v>
      </c>
      <c r="D573" s="146" t="s">
        <v>239</v>
      </c>
      <c r="E573" s="146" t="s">
        <v>231</v>
      </c>
      <c r="F573" s="146" t="s">
        <v>228</v>
      </c>
      <c r="G573" s="146" t="s">
        <v>228</v>
      </c>
      <c r="H573" s="146" t="s">
        <v>228</v>
      </c>
      <c r="I573" s="146" t="s">
        <v>228</v>
      </c>
      <c r="J573" s="146" t="s">
        <v>1413</v>
      </c>
      <c r="K573" s="146" t="s">
        <v>235</v>
      </c>
    </row>
    <row r="574" spans="1:11" x14ac:dyDescent="0.25">
      <c r="A574" s="146" t="s">
        <v>1434</v>
      </c>
      <c r="B574" s="146" t="s">
        <v>1435</v>
      </c>
      <c r="C574" s="146" t="s">
        <v>238</v>
      </c>
      <c r="D574" s="146" t="s">
        <v>239</v>
      </c>
      <c r="E574" s="146" t="s">
        <v>231</v>
      </c>
      <c r="F574" s="146" t="s">
        <v>228</v>
      </c>
      <c r="G574" s="146" t="s">
        <v>228</v>
      </c>
      <c r="H574" s="146" t="s">
        <v>228</v>
      </c>
      <c r="I574" s="146" t="s">
        <v>228</v>
      </c>
      <c r="J574" s="146" t="s">
        <v>1413</v>
      </c>
      <c r="K574" s="146" t="s">
        <v>235</v>
      </c>
    </row>
    <row r="575" spans="1:11" x14ac:dyDescent="0.25">
      <c r="A575" s="146" t="s">
        <v>1436</v>
      </c>
      <c r="B575" s="146" t="s">
        <v>1437</v>
      </c>
      <c r="C575" s="146" t="s">
        <v>238</v>
      </c>
      <c r="D575" s="146" t="s">
        <v>239</v>
      </c>
      <c r="E575" s="146" t="s">
        <v>231</v>
      </c>
      <c r="F575" s="146" t="s">
        <v>228</v>
      </c>
      <c r="G575" s="146" t="s">
        <v>228</v>
      </c>
      <c r="H575" s="146" t="s">
        <v>228</v>
      </c>
      <c r="I575" s="146" t="s">
        <v>228</v>
      </c>
      <c r="J575" s="146" t="s">
        <v>1438</v>
      </c>
      <c r="K575" s="146" t="s">
        <v>235</v>
      </c>
    </row>
    <row r="576" spans="1:11" x14ac:dyDescent="0.25">
      <c r="A576" s="146" t="s">
        <v>1439</v>
      </c>
      <c r="B576" s="146" t="s">
        <v>1440</v>
      </c>
      <c r="C576" s="146" t="s">
        <v>238</v>
      </c>
      <c r="D576" s="146" t="s">
        <v>239</v>
      </c>
      <c r="E576" s="146" t="s">
        <v>231</v>
      </c>
      <c r="F576" s="146" t="s">
        <v>228</v>
      </c>
      <c r="G576" s="146" t="s">
        <v>228</v>
      </c>
      <c r="H576" s="146" t="s">
        <v>228</v>
      </c>
      <c r="I576" s="146" t="s">
        <v>228</v>
      </c>
      <c r="J576" s="146" t="s">
        <v>872</v>
      </c>
      <c r="K576" s="146" t="s">
        <v>235</v>
      </c>
    </row>
    <row r="577" spans="1:11" x14ac:dyDescent="0.25">
      <c r="A577" s="146" t="s">
        <v>1441</v>
      </c>
      <c r="B577" s="146" t="s">
        <v>1442</v>
      </c>
      <c r="C577" s="146" t="s">
        <v>238</v>
      </c>
      <c r="D577" s="146" t="s">
        <v>239</v>
      </c>
      <c r="E577" s="146" t="s">
        <v>231</v>
      </c>
      <c r="F577" s="146" t="s">
        <v>228</v>
      </c>
      <c r="G577" s="146" t="s">
        <v>228</v>
      </c>
      <c r="H577" s="146" t="s">
        <v>228</v>
      </c>
      <c r="I577" s="146" t="s">
        <v>228</v>
      </c>
      <c r="J577" s="146" t="s">
        <v>422</v>
      </c>
      <c r="K577" s="146" t="s">
        <v>235</v>
      </c>
    </row>
    <row r="578" spans="1:11" x14ac:dyDescent="0.25">
      <c r="A578" s="146" t="s">
        <v>1443</v>
      </c>
      <c r="B578" s="146" t="s">
        <v>1444</v>
      </c>
      <c r="C578" s="146" t="s">
        <v>328</v>
      </c>
      <c r="D578" s="146" t="s">
        <v>329</v>
      </c>
      <c r="E578" s="146" t="s">
        <v>231</v>
      </c>
      <c r="F578" s="146" t="s">
        <v>228</v>
      </c>
      <c r="G578" s="146" t="s">
        <v>228</v>
      </c>
      <c r="H578" s="146" t="s">
        <v>228</v>
      </c>
      <c r="I578" s="146" t="s">
        <v>228</v>
      </c>
      <c r="J578" s="146" t="s">
        <v>523</v>
      </c>
      <c r="K578" s="146" t="s">
        <v>235</v>
      </c>
    </row>
    <row r="579" spans="1:11" x14ac:dyDescent="0.25">
      <c r="A579" s="146" t="s">
        <v>1445</v>
      </c>
      <c r="B579" s="146" t="s">
        <v>1446</v>
      </c>
      <c r="C579" s="146" t="s">
        <v>338</v>
      </c>
      <c r="D579" s="146" t="s">
        <v>339</v>
      </c>
      <c r="E579" s="146" t="s">
        <v>231</v>
      </c>
      <c r="F579" s="146" t="s">
        <v>228</v>
      </c>
      <c r="G579" s="146" t="s">
        <v>228</v>
      </c>
      <c r="H579" s="146" t="s">
        <v>228</v>
      </c>
      <c r="I579" s="146" t="s">
        <v>228</v>
      </c>
      <c r="J579" s="146" t="s">
        <v>1447</v>
      </c>
      <c r="K579" s="146" t="s">
        <v>235</v>
      </c>
    </row>
    <row r="580" spans="1:11" x14ac:dyDescent="0.25">
      <c r="A580" s="146" t="s">
        <v>1448</v>
      </c>
      <c r="B580" s="146" t="s">
        <v>1449</v>
      </c>
      <c r="C580" s="146" t="s">
        <v>238</v>
      </c>
      <c r="D580" s="146" t="s">
        <v>239</v>
      </c>
      <c r="E580" s="146" t="s">
        <v>231</v>
      </c>
      <c r="F580" s="146" t="s">
        <v>228</v>
      </c>
      <c r="G580" s="146" t="s">
        <v>228</v>
      </c>
      <c r="H580" s="146" t="s">
        <v>228</v>
      </c>
      <c r="I580" s="146" t="s">
        <v>228</v>
      </c>
      <c r="J580" s="146" t="s">
        <v>240</v>
      </c>
      <c r="K580" s="146" t="s">
        <v>235</v>
      </c>
    </row>
    <row r="581" spans="1:11" x14ac:dyDescent="0.25">
      <c r="A581" s="146" t="s">
        <v>1450</v>
      </c>
      <c r="B581" s="146" t="s">
        <v>1451</v>
      </c>
      <c r="C581" s="146" t="s">
        <v>238</v>
      </c>
      <c r="D581" s="146" t="s">
        <v>239</v>
      </c>
      <c r="E581" s="146" t="s">
        <v>231</v>
      </c>
      <c r="F581" s="146" t="s">
        <v>228</v>
      </c>
      <c r="G581" s="146" t="s">
        <v>228</v>
      </c>
      <c r="H581" s="146" t="s">
        <v>228</v>
      </c>
      <c r="I581" s="146" t="s">
        <v>228</v>
      </c>
      <c r="J581" s="146" t="s">
        <v>240</v>
      </c>
      <c r="K581" s="146" t="s">
        <v>235</v>
      </c>
    </row>
    <row r="582" spans="1:11" x14ac:dyDescent="0.25">
      <c r="A582" s="146" t="s">
        <v>1452</v>
      </c>
      <c r="B582" s="146" t="s">
        <v>1453</v>
      </c>
      <c r="C582" s="146" t="s">
        <v>238</v>
      </c>
      <c r="D582" s="146" t="s">
        <v>239</v>
      </c>
      <c r="E582" s="146" t="s">
        <v>231</v>
      </c>
      <c r="F582" s="146" t="s">
        <v>228</v>
      </c>
      <c r="G582" s="146" t="s">
        <v>228</v>
      </c>
      <c r="H582" s="146" t="s">
        <v>228</v>
      </c>
      <c r="I582" s="146" t="s">
        <v>228</v>
      </c>
      <c r="J582" s="146" t="s">
        <v>240</v>
      </c>
      <c r="K582" s="146" t="s">
        <v>235</v>
      </c>
    </row>
    <row r="583" spans="1:11" x14ac:dyDescent="0.25">
      <c r="A583" s="146" t="s">
        <v>1454</v>
      </c>
      <c r="B583" s="146" t="s">
        <v>1455</v>
      </c>
      <c r="C583" s="146" t="s">
        <v>238</v>
      </c>
      <c r="D583" s="146" t="s">
        <v>239</v>
      </c>
      <c r="E583" s="146" t="s">
        <v>231</v>
      </c>
      <c r="F583" s="146" t="s">
        <v>228</v>
      </c>
      <c r="G583" s="146" t="s">
        <v>228</v>
      </c>
      <c r="H583" s="146" t="s">
        <v>228</v>
      </c>
      <c r="I583" s="146" t="s">
        <v>228</v>
      </c>
      <c r="J583" s="146" t="s">
        <v>240</v>
      </c>
      <c r="K583" s="146" t="s">
        <v>235</v>
      </c>
    </row>
    <row r="584" spans="1:11" x14ac:dyDescent="0.25">
      <c r="A584" s="146" t="s">
        <v>1456</v>
      </c>
      <c r="B584" s="146" t="s">
        <v>1457</v>
      </c>
      <c r="C584" s="146" t="s">
        <v>238</v>
      </c>
      <c r="D584" s="146" t="s">
        <v>239</v>
      </c>
      <c r="E584" s="146" t="s">
        <v>231</v>
      </c>
      <c r="F584" s="146" t="s">
        <v>228</v>
      </c>
      <c r="G584" s="146" t="s">
        <v>228</v>
      </c>
      <c r="H584" s="146" t="s">
        <v>228</v>
      </c>
      <c r="I584" s="146" t="s">
        <v>228</v>
      </c>
      <c r="J584" s="146" t="s">
        <v>240</v>
      </c>
      <c r="K584" s="146" t="s">
        <v>235</v>
      </c>
    </row>
    <row r="585" spans="1:11" x14ac:dyDescent="0.25">
      <c r="A585" s="146" t="s">
        <v>1458</v>
      </c>
      <c r="B585" s="146" t="s">
        <v>1459</v>
      </c>
      <c r="C585" s="146" t="s">
        <v>238</v>
      </c>
      <c r="D585" s="146" t="s">
        <v>239</v>
      </c>
      <c r="E585" s="146" t="s">
        <v>231</v>
      </c>
      <c r="F585" s="146" t="s">
        <v>228</v>
      </c>
      <c r="G585" s="146" t="s">
        <v>228</v>
      </c>
      <c r="H585" s="146" t="s">
        <v>228</v>
      </c>
      <c r="I585" s="146" t="s">
        <v>228</v>
      </c>
      <c r="J585" s="146" t="s">
        <v>234</v>
      </c>
      <c r="K585" s="146" t="s">
        <v>235</v>
      </c>
    </row>
    <row r="586" spans="1:11" x14ac:dyDescent="0.25">
      <c r="A586" s="146" t="s">
        <v>1460</v>
      </c>
      <c r="B586" s="146" t="s">
        <v>1461</v>
      </c>
      <c r="C586" s="146" t="s">
        <v>238</v>
      </c>
      <c r="D586" s="146" t="s">
        <v>239</v>
      </c>
      <c r="E586" s="146" t="s">
        <v>231</v>
      </c>
      <c r="F586" s="146" t="s">
        <v>228</v>
      </c>
      <c r="G586" s="146" t="s">
        <v>228</v>
      </c>
      <c r="H586" s="146" t="s">
        <v>228</v>
      </c>
      <c r="I586" s="146" t="s">
        <v>228</v>
      </c>
      <c r="J586" s="146" t="s">
        <v>240</v>
      </c>
      <c r="K586" s="146" t="s">
        <v>235</v>
      </c>
    </row>
    <row r="587" spans="1:11" x14ac:dyDescent="0.25">
      <c r="A587" s="146" t="s">
        <v>1462</v>
      </c>
      <c r="B587" s="146" t="s">
        <v>1463</v>
      </c>
      <c r="C587" s="146" t="s">
        <v>238</v>
      </c>
      <c r="D587" s="146" t="s">
        <v>239</v>
      </c>
      <c r="E587" s="146" t="s">
        <v>231</v>
      </c>
      <c r="F587" s="146" t="s">
        <v>228</v>
      </c>
      <c r="G587" s="146" t="s">
        <v>228</v>
      </c>
      <c r="H587" s="146" t="s">
        <v>228</v>
      </c>
      <c r="I587" s="146" t="s">
        <v>228</v>
      </c>
      <c r="J587" s="146" t="s">
        <v>234</v>
      </c>
      <c r="K587" s="146" t="s">
        <v>235</v>
      </c>
    </row>
    <row r="588" spans="1:11" x14ac:dyDescent="0.25">
      <c r="A588" s="146" t="s">
        <v>1464</v>
      </c>
      <c r="B588" s="146" t="s">
        <v>1465</v>
      </c>
      <c r="C588" s="146" t="s">
        <v>238</v>
      </c>
      <c r="D588" s="146" t="s">
        <v>239</v>
      </c>
      <c r="E588" s="146" t="s">
        <v>231</v>
      </c>
      <c r="F588" s="146" t="s">
        <v>228</v>
      </c>
      <c r="G588" s="146" t="s">
        <v>228</v>
      </c>
      <c r="H588" s="146" t="s">
        <v>228</v>
      </c>
      <c r="I588" s="146" t="s">
        <v>228</v>
      </c>
      <c r="J588" s="146" t="s">
        <v>234</v>
      </c>
      <c r="K588" s="146" t="s">
        <v>235</v>
      </c>
    </row>
    <row r="589" spans="1:11" x14ac:dyDescent="0.25">
      <c r="A589" s="146" t="s">
        <v>1466</v>
      </c>
      <c r="B589" s="146" t="s">
        <v>1467</v>
      </c>
      <c r="C589" s="146" t="s">
        <v>328</v>
      </c>
      <c r="D589" s="146" t="s">
        <v>329</v>
      </c>
      <c r="E589" s="146" t="s">
        <v>231</v>
      </c>
      <c r="F589" s="146" t="s">
        <v>228</v>
      </c>
      <c r="G589" s="146" t="s">
        <v>228</v>
      </c>
      <c r="H589" s="146" t="s">
        <v>228</v>
      </c>
      <c r="I589" s="146" t="s">
        <v>228</v>
      </c>
      <c r="J589" s="146" t="s">
        <v>523</v>
      </c>
      <c r="K589" s="146" t="s">
        <v>235</v>
      </c>
    </row>
    <row r="590" spans="1:11" x14ac:dyDescent="0.25">
      <c r="A590" s="146" t="s">
        <v>1468</v>
      </c>
      <c r="B590" s="146" t="s">
        <v>1469</v>
      </c>
      <c r="C590" s="146" t="s">
        <v>238</v>
      </c>
      <c r="D590" s="146" t="s">
        <v>239</v>
      </c>
      <c r="E590" s="146" t="s">
        <v>231</v>
      </c>
      <c r="F590" s="146" t="s">
        <v>228</v>
      </c>
      <c r="G590" s="146" t="s">
        <v>228</v>
      </c>
      <c r="H590" s="146" t="s">
        <v>228</v>
      </c>
      <c r="I590" s="146" t="s">
        <v>228</v>
      </c>
      <c r="J590" s="146" t="s">
        <v>240</v>
      </c>
      <c r="K590" s="146" t="s">
        <v>235</v>
      </c>
    </row>
    <row r="591" spans="1:11" x14ac:dyDescent="0.25">
      <c r="A591" s="146" t="s">
        <v>1470</v>
      </c>
      <c r="B591" s="146" t="s">
        <v>1471</v>
      </c>
      <c r="C591" s="146" t="s">
        <v>238</v>
      </c>
      <c r="D591" s="146" t="s">
        <v>239</v>
      </c>
      <c r="E591" s="146" t="s">
        <v>231</v>
      </c>
      <c r="F591" s="146" t="s">
        <v>228</v>
      </c>
      <c r="G591" s="146" t="s">
        <v>228</v>
      </c>
      <c r="H591" s="146" t="s">
        <v>228</v>
      </c>
      <c r="I591" s="146" t="s">
        <v>228</v>
      </c>
      <c r="J591" s="146" t="s">
        <v>240</v>
      </c>
      <c r="K591" s="146" t="s">
        <v>235</v>
      </c>
    </row>
    <row r="592" spans="1:11" x14ac:dyDescent="0.25">
      <c r="A592" s="146" t="s">
        <v>1472</v>
      </c>
      <c r="B592" s="146" t="s">
        <v>1473</v>
      </c>
      <c r="C592" s="146" t="s">
        <v>238</v>
      </c>
      <c r="D592" s="146" t="s">
        <v>239</v>
      </c>
      <c r="E592" s="146" t="s">
        <v>231</v>
      </c>
      <c r="F592" s="146" t="s">
        <v>228</v>
      </c>
      <c r="G592" s="146" t="s">
        <v>228</v>
      </c>
      <c r="H592" s="146" t="s">
        <v>228</v>
      </c>
      <c r="I592" s="146" t="s">
        <v>228</v>
      </c>
      <c r="J592" s="146" t="s">
        <v>240</v>
      </c>
      <c r="K592" s="146" t="s">
        <v>235</v>
      </c>
    </row>
    <row r="593" spans="1:11" x14ac:dyDescent="0.25">
      <c r="A593" s="146" t="s">
        <v>1474</v>
      </c>
      <c r="B593" s="146" t="s">
        <v>1475</v>
      </c>
      <c r="C593" s="146" t="s">
        <v>328</v>
      </c>
      <c r="D593" s="146" t="s">
        <v>329</v>
      </c>
      <c r="E593" s="146" t="s">
        <v>231</v>
      </c>
      <c r="F593" s="146" t="s">
        <v>228</v>
      </c>
      <c r="G593" s="146" t="s">
        <v>228</v>
      </c>
      <c r="H593" s="146" t="s">
        <v>228</v>
      </c>
      <c r="I593" s="146" t="s">
        <v>228</v>
      </c>
      <c r="J593" s="146" t="s">
        <v>523</v>
      </c>
      <c r="K593" s="146" t="s">
        <v>235</v>
      </c>
    </row>
    <row r="594" spans="1:11" x14ac:dyDescent="0.25">
      <c r="A594" s="146" t="s">
        <v>1476</v>
      </c>
      <c r="B594" s="146" t="s">
        <v>1477</v>
      </c>
      <c r="C594" s="146" t="s">
        <v>238</v>
      </c>
      <c r="D594" s="146" t="s">
        <v>239</v>
      </c>
      <c r="E594" s="146" t="s">
        <v>231</v>
      </c>
      <c r="F594" s="146" t="s">
        <v>228</v>
      </c>
      <c r="G594" s="146" t="s">
        <v>228</v>
      </c>
      <c r="H594" s="146" t="s">
        <v>228</v>
      </c>
      <c r="I594" s="146" t="s">
        <v>228</v>
      </c>
      <c r="J594" s="146" t="s">
        <v>234</v>
      </c>
      <c r="K594" s="146" t="s">
        <v>235</v>
      </c>
    </row>
    <row r="595" spans="1:11" x14ac:dyDescent="0.25">
      <c r="A595" s="146" t="s">
        <v>1478</v>
      </c>
      <c r="B595" s="146" t="s">
        <v>1479</v>
      </c>
      <c r="C595" s="146" t="s">
        <v>409</v>
      </c>
      <c r="D595" s="146" t="s">
        <v>1480</v>
      </c>
      <c r="E595" s="146" t="s">
        <v>231</v>
      </c>
      <c r="F595" s="146" t="s">
        <v>228</v>
      </c>
      <c r="G595" s="146" t="s">
        <v>228</v>
      </c>
      <c r="H595" s="146" t="s">
        <v>228</v>
      </c>
      <c r="I595" s="146" t="s">
        <v>228</v>
      </c>
      <c r="J595" s="146" t="s">
        <v>1481</v>
      </c>
      <c r="K595" s="146" t="s">
        <v>235</v>
      </c>
    </row>
    <row r="596" spans="1:11" x14ac:dyDescent="0.25">
      <c r="A596" s="146" t="s">
        <v>233</v>
      </c>
      <c r="B596" s="146" t="s">
        <v>1482</v>
      </c>
      <c r="C596" s="146" t="s">
        <v>1483</v>
      </c>
      <c r="D596" s="146" t="s">
        <v>229</v>
      </c>
      <c r="E596" s="146" t="s">
        <v>231</v>
      </c>
      <c r="F596" s="146" t="s">
        <v>228</v>
      </c>
      <c r="G596" s="146" t="s">
        <v>228</v>
      </c>
      <c r="H596" s="146" t="s">
        <v>228</v>
      </c>
      <c r="I596" s="146" t="s">
        <v>228</v>
      </c>
      <c r="J596" s="146" t="s">
        <v>325</v>
      </c>
      <c r="K596" s="146" t="s">
        <v>235</v>
      </c>
    </row>
    <row r="597" spans="1:11" x14ac:dyDescent="0.25">
      <c r="A597" s="146" t="s">
        <v>1484</v>
      </c>
      <c r="B597" s="146" t="s">
        <v>1485</v>
      </c>
      <c r="C597" s="146" t="s">
        <v>230</v>
      </c>
      <c r="D597" s="146" t="s">
        <v>1480</v>
      </c>
      <c r="E597" s="146" t="s">
        <v>231</v>
      </c>
      <c r="F597" s="146" t="s">
        <v>232</v>
      </c>
      <c r="G597" s="146" t="s">
        <v>1484</v>
      </c>
      <c r="H597" s="146" t="s">
        <v>228</v>
      </c>
      <c r="I597" s="146" t="s">
        <v>228</v>
      </c>
      <c r="J597" s="146" t="s">
        <v>325</v>
      </c>
      <c r="K597" s="146" t="s">
        <v>235</v>
      </c>
    </row>
    <row r="598" spans="1:11" x14ac:dyDescent="0.25">
      <c r="A598" s="146" t="s">
        <v>1486</v>
      </c>
      <c r="B598" s="146" t="s">
        <v>1487</v>
      </c>
      <c r="C598" s="146" t="s">
        <v>1483</v>
      </c>
      <c r="D598" s="146" t="s">
        <v>229</v>
      </c>
      <c r="E598" s="146" t="s">
        <v>1488</v>
      </c>
      <c r="F598" s="146" t="s">
        <v>228</v>
      </c>
      <c r="G598" s="146" t="s">
        <v>228</v>
      </c>
      <c r="H598" s="146" t="s">
        <v>228</v>
      </c>
      <c r="I598" s="146" t="s">
        <v>228</v>
      </c>
      <c r="J598" s="146" t="s">
        <v>325</v>
      </c>
      <c r="K598" s="146" t="s">
        <v>235</v>
      </c>
    </row>
    <row r="599" spans="1:11" x14ac:dyDescent="0.25">
      <c r="A599" s="146" t="s">
        <v>1489</v>
      </c>
      <c r="B599" s="146" t="s">
        <v>1490</v>
      </c>
      <c r="C599" s="146" t="s">
        <v>238</v>
      </c>
      <c r="D599" s="146" t="s">
        <v>239</v>
      </c>
      <c r="E599" s="146" t="s">
        <v>231</v>
      </c>
      <c r="F599" s="146" t="s">
        <v>228</v>
      </c>
      <c r="G599" s="146" t="s">
        <v>228</v>
      </c>
      <c r="H599" s="146" t="s">
        <v>228</v>
      </c>
      <c r="I599" s="146" t="s">
        <v>228</v>
      </c>
      <c r="J599" s="146" t="s">
        <v>1491</v>
      </c>
      <c r="K599" s="146" t="s">
        <v>235</v>
      </c>
    </row>
    <row r="600" spans="1:11" x14ac:dyDescent="0.25">
      <c r="A600" s="146" t="s">
        <v>1492</v>
      </c>
      <c r="B600" s="146" t="s">
        <v>1493</v>
      </c>
      <c r="C600" s="146" t="s">
        <v>238</v>
      </c>
      <c r="D600" s="146" t="s">
        <v>239</v>
      </c>
      <c r="E600" s="146" t="s">
        <v>231</v>
      </c>
      <c r="F600" s="146" t="s">
        <v>228</v>
      </c>
      <c r="G600" s="146" t="s">
        <v>228</v>
      </c>
      <c r="H600" s="146" t="s">
        <v>228</v>
      </c>
      <c r="I600" s="146" t="s">
        <v>228</v>
      </c>
      <c r="J600" s="146" t="s">
        <v>1150</v>
      </c>
      <c r="K600" s="146" t="s">
        <v>235</v>
      </c>
    </row>
    <row r="601" spans="1:11" x14ac:dyDescent="0.25">
      <c r="A601" s="146" t="s">
        <v>1494</v>
      </c>
      <c r="B601" s="146" t="s">
        <v>1495</v>
      </c>
      <c r="C601" s="146" t="s">
        <v>409</v>
      </c>
      <c r="D601" s="146" t="s">
        <v>1480</v>
      </c>
      <c r="E601" s="146" t="s">
        <v>231</v>
      </c>
      <c r="F601" s="146" t="s">
        <v>228</v>
      </c>
      <c r="G601" s="146" t="s">
        <v>228</v>
      </c>
      <c r="H601" s="146" t="s">
        <v>228</v>
      </c>
      <c r="I601" s="146" t="s">
        <v>228</v>
      </c>
      <c r="J601" s="146" t="s">
        <v>325</v>
      </c>
      <c r="K601" s="146" t="s">
        <v>235</v>
      </c>
    </row>
    <row r="602" spans="1:11" x14ac:dyDescent="0.25">
      <c r="A602" s="146" t="s">
        <v>1496</v>
      </c>
      <c r="B602" s="146" t="s">
        <v>1497</v>
      </c>
      <c r="C602" s="146" t="s">
        <v>1498</v>
      </c>
      <c r="D602" s="146" t="s">
        <v>1480</v>
      </c>
      <c r="E602" s="146" t="s">
        <v>231</v>
      </c>
      <c r="F602" s="146" t="s">
        <v>228</v>
      </c>
      <c r="G602" s="146" t="s">
        <v>228</v>
      </c>
      <c r="H602" s="146" t="s">
        <v>228</v>
      </c>
      <c r="I602" s="146" t="s">
        <v>228</v>
      </c>
      <c r="J602" s="146" t="s">
        <v>325</v>
      </c>
      <c r="K602" s="146" t="s">
        <v>235</v>
      </c>
    </row>
    <row r="603" spans="1:11" x14ac:dyDescent="0.25">
      <c r="A603" s="146" t="s">
        <v>1499</v>
      </c>
      <c r="B603" s="146" t="s">
        <v>824</v>
      </c>
      <c r="C603" s="146" t="s">
        <v>238</v>
      </c>
      <c r="D603" s="146" t="s">
        <v>239</v>
      </c>
      <c r="E603" s="146" t="s">
        <v>231</v>
      </c>
      <c r="F603" s="146" t="s">
        <v>228</v>
      </c>
      <c r="G603" s="146" t="s">
        <v>228</v>
      </c>
      <c r="H603" s="146" t="s">
        <v>228</v>
      </c>
      <c r="I603" s="146" t="s">
        <v>228</v>
      </c>
      <c r="J603" s="146" t="s">
        <v>243</v>
      </c>
      <c r="K603" s="146" t="s">
        <v>235</v>
      </c>
    </row>
    <row r="604" spans="1:11" x14ac:dyDescent="0.25">
      <c r="A604" s="146" t="s">
        <v>1500</v>
      </c>
      <c r="B604" s="146" t="s">
        <v>822</v>
      </c>
      <c r="C604" s="146" t="s">
        <v>230</v>
      </c>
      <c r="D604" s="146" t="s">
        <v>822</v>
      </c>
      <c r="E604" s="146" t="s">
        <v>231</v>
      </c>
      <c r="F604" s="146" t="s">
        <v>232</v>
      </c>
      <c r="G604" s="146" t="s">
        <v>1500</v>
      </c>
      <c r="H604" s="146" t="s">
        <v>228</v>
      </c>
      <c r="I604" s="146" t="s">
        <v>228</v>
      </c>
      <c r="J604" s="146" t="s">
        <v>1404</v>
      </c>
      <c r="K604" s="146" t="s">
        <v>235</v>
      </c>
    </row>
    <row r="605" spans="1:11" x14ac:dyDescent="0.25">
      <c r="A605" s="146" t="s">
        <v>1501</v>
      </c>
      <c r="B605" s="146" t="s">
        <v>1502</v>
      </c>
      <c r="C605" s="146" t="s">
        <v>230</v>
      </c>
      <c r="D605" s="146" t="s">
        <v>1502</v>
      </c>
      <c r="E605" s="146" t="s">
        <v>231</v>
      </c>
      <c r="F605" s="146" t="s">
        <v>232</v>
      </c>
      <c r="G605" s="146" t="s">
        <v>1501</v>
      </c>
      <c r="H605" s="146" t="s">
        <v>228</v>
      </c>
      <c r="I605" s="146" t="s">
        <v>228</v>
      </c>
      <c r="J605" s="146" t="s">
        <v>1404</v>
      </c>
      <c r="K605" s="146" t="s">
        <v>235</v>
      </c>
    </row>
    <row r="606" spans="1:11" x14ac:dyDescent="0.25">
      <c r="A606" s="146" t="s">
        <v>1503</v>
      </c>
      <c r="B606" s="146" t="s">
        <v>1504</v>
      </c>
      <c r="C606" s="146" t="s">
        <v>238</v>
      </c>
      <c r="D606" s="146" t="s">
        <v>239</v>
      </c>
      <c r="E606" s="146" t="s">
        <v>231</v>
      </c>
      <c r="F606" s="146" t="s">
        <v>228</v>
      </c>
      <c r="G606" s="146" t="s">
        <v>228</v>
      </c>
      <c r="H606" s="146" t="s">
        <v>228</v>
      </c>
      <c r="I606" s="146" t="s">
        <v>228</v>
      </c>
      <c r="J606" s="146" t="s">
        <v>234</v>
      </c>
      <c r="K606" s="146" t="s">
        <v>235</v>
      </c>
    </row>
    <row r="607" spans="1:11" x14ac:dyDescent="0.25">
      <c r="A607" s="146" t="s">
        <v>1505</v>
      </c>
      <c r="B607" s="146" t="s">
        <v>1506</v>
      </c>
      <c r="C607" s="146" t="s">
        <v>238</v>
      </c>
      <c r="D607" s="146" t="s">
        <v>239</v>
      </c>
      <c r="E607" s="146" t="s">
        <v>231</v>
      </c>
      <c r="F607" s="146" t="s">
        <v>228</v>
      </c>
      <c r="G607" s="146" t="s">
        <v>228</v>
      </c>
      <c r="H607" s="146" t="s">
        <v>228</v>
      </c>
      <c r="I607" s="146" t="s">
        <v>228</v>
      </c>
      <c r="J607" s="146" t="s">
        <v>422</v>
      </c>
      <c r="K607" s="146" t="s">
        <v>235</v>
      </c>
    </row>
    <row r="608" spans="1:11" x14ac:dyDescent="0.25">
      <c r="A608" s="146" t="s">
        <v>1507</v>
      </c>
      <c r="B608" s="146" t="s">
        <v>1508</v>
      </c>
      <c r="C608" s="146" t="s">
        <v>238</v>
      </c>
      <c r="D608" s="146" t="s">
        <v>239</v>
      </c>
      <c r="E608" s="146" t="s">
        <v>231</v>
      </c>
      <c r="F608" s="146" t="s">
        <v>228</v>
      </c>
      <c r="G608" s="146" t="s">
        <v>228</v>
      </c>
      <c r="H608" s="146" t="s">
        <v>228</v>
      </c>
      <c r="I608" s="146" t="s">
        <v>228</v>
      </c>
      <c r="J608" s="146" t="s">
        <v>240</v>
      </c>
      <c r="K608" s="146" t="s">
        <v>235</v>
      </c>
    </row>
    <row r="609" spans="1:11" x14ac:dyDescent="0.25">
      <c r="A609" s="146" t="s">
        <v>1509</v>
      </c>
      <c r="B609" s="146" t="s">
        <v>1510</v>
      </c>
      <c r="C609" s="146" t="s">
        <v>238</v>
      </c>
      <c r="D609" s="146" t="s">
        <v>239</v>
      </c>
      <c r="E609" s="146" t="s">
        <v>231</v>
      </c>
      <c r="F609" s="146" t="s">
        <v>228</v>
      </c>
      <c r="G609" s="146" t="s">
        <v>228</v>
      </c>
      <c r="H609" s="146" t="s">
        <v>228</v>
      </c>
      <c r="I609" s="146" t="s">
        <v>228</v>
      </c>
      <c r="J609" s="146" t="s">
        <v>234</v>
      </c>
      <c r="K609" s="146" t="s">
        <v>235</v>
      </c>
    </row>
    <row r="610" spans="1:11" x14ac:dyDescent="0.25">
      <c r="A610" s="146" t="s">
        <v>1511</v>
      </c>
      <c r="B610" s="146" t="s">
        <v>1512</v>
      </c>
      <c r="C610" s="146" t="s">
        <v>238</v>
      </c>
      <c r="D610" s="146" t="s">
        <v>239</v>
      </c>
      <c r="E610" s="146" t="s">
        <v>231</v>
      </c>
      <c r="F610" s="146" t="s">
        <v>228</v>
      </c>
      <c r="G610" s="146" t="s">
        <v>228</v>
      </c>
      <c r="H610" s="146" t="s">
        <v>228</v>
      </c>
      <c r="I610" s="146" t="s">
        <v>228</v>
      </c>
      <c r="J610" s="146" t="s">
        <v>1513</v>
      </c>
      <c r="K610" s="146" t="s">
        <v>235</v>
      </c>
    </row>
    <row r="611" spans="1:11" x14ac:dyDescent="0.25">
      <c r="A611" s="146" t="s">
        <v>1514</v>
      </c>
      <c r="B611" s="146" t="s">
        <v>1515</v>
      </c>
      <c r="C611" s="146" t="s">
        <v>238</v>
      </c>
      <c r="D611" s="146" t="s">
        <v>239</v>
      </c>
      <c r="E611" s="146" t="s">
        <v>231</v>
      </c>
      <c r="F611" s="146" t="s">
        <v>228</v>
      </c>
      <c r="G611" s="146" t="s">
        <v>228</v>
      </c>
      <c r="H611" s="146" t="s">
        <v>228</v>
      </c>
      <c r="I611" s="146" t="s">
        <v>228</v>
      </c>
      <c r="J611" s="146" t="s">
        <v>793</v>
      </c>
      <c r="K611" s="146" t="s">
        <v>235</v>
      </c>
    </row>
    <row r="612" spans="1:11" x14ac:dyDescent="0.25">
      <c r="A612" s="146" t="s">
        <v>1516</v>
      </c>
      <c r="B612" s="146" t="s">
        <v>1517</v>
      </c>
      <c r="C612" s="146" t="s">
        <v>238</v>
      </c>
      <c r="D612" s="146" t="s">
        <v>239</v>
      </c>
      <c r="E612" s="146" t="s">
        <v>231</v>
      </c>
      <c r="F612" s="146" t="s">
        <v>228</v>
      </c>
      <c r="G612" s="146" t="s">
        <v>228</v>
      </c>
      <c r="H612" s="146" t="s">
        <v>228</v>
      </c>
      <c r="I612" s="146" t="s">
        <v>228</v>
      </c>
      <c r="J612" s="146" t="s">
        <v>240</v>
      </c>
      <c r="K612" s="146" t="s">
        <v>235</v>
      </c>
    </row>
    <row r="613" spans="1:11" x14ac:dyDescent="0.25">
      <c r="A613" s="146" t="s">
        <v>1518</v>
      </c>
      <c r="B613" s="146" t="s">
        <v>1519</v>
      </c>
      <c r="C613" s="146" t="s">
        <v>238</v>
      </c>
      <c r="D613" s="146" t="s">
        <v>239</v>
      </c>
      <c r="E613" s="146" t="s">
        <v>231</v>
      </c>
      <c r="F613" s="146" t="s">
        <v>228</v>
      </c>
      <c r="G613" s="146" t="s">
        <v>228</v>
      </c>
      <c r="H613" s="146" t="s">
        <v>228</v>
      </c>
      <c r="I613" s="146" t="s">
        <v>228</v>
      </c>
      <c r="J613" s="146" t="s">
        <v>240</v>
      </c>
      <c r="K613" s="146" t="s">
        <v>235</v>
      </c>
    </row>
    <row r="614" spans="1:11" x14ac:dyDescent="0.25">
      <c r="A614" s="146" t="s">
        <v>1520</v>
      </c>
      <c r="B614" s="146" t="s">
        <v>1521</v>
      </c>
      <c r="C614" s="146" t="s">
        <v>238</v>
      </c>
      <c r="D614" s="146" t="s">
        <v>239</v>
      </c>
      <c r="E614" s="146" t="s">
        <v>231</v>
      </c>
      <c r="F614" s="146" t="s">
        <v>228</v>
      </c>
      <c r="G614" s="146" t="s">
        <v>228</v>
      </c>
      <c r="H614" s="146" t="s">
        <v>228</v>
      </c>
      <c r="I614" s="146" t="s">
        <v>228</v>
      </c>
      <c r="J614" s="146" t="s">
        <v>243</v>
      </c>
      <c r="K614" s="146" t="s">
        <v>235</v>
      </c>
    </row>
    <row r="615" spans="1:11" x14ac:dyDescent="0.25">
      <c r="A615" s="146" t="s">
        <v>1522</v>
      </c>
      <c r="B615" s="146" t="s">
        <v>1523</v>
      </c>
      <c r="C615" s="146" t="s">
        <v>238</v>
      </c>
      <c r="D615" s="146" t="s">
        <v>239</v>
      </c>
      <c r="E615" s="146" t="s">
        <v>231</v>
      </c>
      <c r="F615" s="146" t="s">
        <v>228</v>
      </c>
      <c r="G615" s="146" t="s">
        <v>228</v>
      </c>
      <c r="H615" s="146" t="s">
        <v>228</v>
      </c>
      <c r="I615" s="146" t="s">
        <v>228</v>
      </c>
      <c r="J615" s="146" t="s">
        <v>240</v>
      </c>
      <c r="K615" s="146" t="s">
        <v>235</v>
      </c>
    </row>
    <row r="616" spans="1:11" x14ac:dyDescent="0.25">
      <c r="A616" s="146" t="s">
        <v>1524</v>
      </c>
      <c r="B616" s="146" t="s">
        <v>1525</v>
      </c>
      <c r="C616" s="146" t="s">
        <v>238</v>
      </c>
      <c r="D616" s="146" t="s">
        <v>239</v>
      </c>
      <c r="E616" s="146" t="s">
        <v>231</v>
      </c>
      <c r="F616" s="146" t="s">
        <v>228</v>
      </c>
      <c r="G616" s="146" t="s">
        <v>228</v>
      </c>
      <c r="H616" s="146" t="s">
        <v>228</v>
      </c>
      <c r="I616" s="146" t="s">
        <v>228</v>
      </c>
      <c r="J616" s="146" t="s">
        <v>1526</v>
      </c>
      <c r="K616" s="146" t="s">
        <v>1527</v>
      </c>
    </row>
    <row r="617" spans="1:11" x14ac:dyDescent="0.25">
      <c r="A617" s="146" t="s">
        <v>1528</v>
      </c>
      <c r="B617" s="146" t="s">
        <v>1529</v>
      </c>
      <c r="C617" s="146" t="s">
        <v>238</v>
      </c>
      <c r="D617" s="146" t="s">
        <v>239</v>
      </c>
      <c r="E617" s="146" t="s">
        <v>231</v>
      </c>
      <c r="F617" s="146" t="s">
        <v>228</v>
      </c>
      <c r="G617" s="146" t="s">
        <v>228</v>
      </c>
      <c r="H617" s="146" t="s">
        <v>228</v>
      </c>
      <c r="I617" s="146" t="s">
        <v>228</v>
      </c>
      <c r="J617" s="146" t="s">
        <v>243</v>
      </c>
      <c r="K617" s="146" t="s">
        <v>235</v>
      </c>
    </row>
    <row r="618" spans="1:11" x14ac:dyDescent="0.25">
      <c r="A618" s="146" t="s">
        <v>1530</v>
      </c>
      <c r="B618" s="146" t="s">
        <v>1531</v>
      </c>
      <c r="C618" s="146" t="s">
        <v>238</v>
      </c>
      <c r="D618" s="146" t="s">
        <v>239</v>
      </c>
      <c r="E618" s="146" t="s">
        <v>231</v>
      </c>
      <c r="F618" s="146" t="s">
        <v>228</v>
      </c>
      <c r="G618" s="146" t="s">
        <v>228</v>
      </c>
      <c r="H618" s="146" t="s">
        <v>228</v>
      </c>
      <c r="I618" s="146" t="s">
        <v>228</v>
      </c>
      <c r="J618" s="146" t="s">
        <v>240</v>
      </c>
      <c r="K618" s="146" t="s">
        <v>235</v>
      </c>
    </row>
    <row r="619" spans="1:11" x14ac:dyDescent="0.25">
      <c r="A619" s="146" t="s">
        <v>1532</v>
      </c>
      <c r="B619" s="146" t="s">
        <v>1533</v>
      </c>
      <c r="C619" s="146" t="s">
        <v>238</v>
      </c>
      <c r="D619" s="146" t="s">
        <v>239</v>
      </c>
      <c r="E619" s="146" t="s">
        <v>231</v>
      </c>
      <c r="F619" s="146" t="s">
        <v>228</v>
      </c>
      <c r="G619" s="146" t="s">
        <v>228</v>
      </c>
      <c r="H619" s="146" t="s">
        <v>228</v>
      </c>
      <c r="I619" s="146" t="s">
        <v>228</v>
      </c>
      <c r="J619" s="146" t="s">
        <v>240</v>
      </c>
      <c r="K619" s="146" t="s">
        <v>235</v>
      </c>
    </row>
    <row r="620" spans="1:11" x14ac:dyDescent="0.25">
      <c r="A620" s="146" t="s">
        <v>1534</v>
      </c>
      <c r="B620" s="146" t="s">
        <v>1535</v>
      </c>
      <c r="C620" s="146" t="s">
        <v>238</v>
      </c>
      <c r="D620" s="146" t="s">
        <v>239</v>
      </c>
      <c r="E620" s="146" t="s">
        <v>231</v>
      </c>
      <c r="F620" s="146" t="s">
        <v>228</v>
      </c>
      <c r="G620" s="146" t="s">
        <v>228</v>
      </c>
      <c r="H620" s="146" t="s">
        <v>228</v>
      </c>
      <c r="I620" s="146" t="s">
        <v>228</v>
      </c>
      <c r="J620" s="146" t="s">
        <v>240</v>
      </c>
      <c r="K620" s="146" t="s">
        <v>235</v>
      </c>
    </row>
    <row r="621" spans="1:11" x14ac:dyDescent="0.25">
      <c r="A621" s="146" t="s">
        <v>1536</v>
      </c>
      <c r="B621" s="146" t="s">
        <v>1537</v>
      </c>
      <c r="C621" s="146" t="s">
        <v>238</v>
      </c>
      <c r="D621" s="146" t="s">
        <v>239</v>
      </c>
      <c r="E621" s="146" t="s">
        <v>231</v>
      </c>
      <c r="F621" s="146" t="s">
        <v>228</v>
      </c>
      <c r="G621" s="146" t="s">
        <v>228</v>
      </c>
      <c r="H621" s="146" t="s">
        <v>228</v>
      </c>
      <c r="I621" s="146" t="s">
        <v>228</v>
      </c>
      <c r="J621" s="146" t="s">
        <v>240</v>
      </c>
      <c r="K621" s="146" t="s">
        <v>235</v>
      </c>
    </row>
    <row r="622" spans="1:11" x14ac:dyDescent="0.25">
      <c r="A622" s="146" t="s">
        <v>1538</v>
      </c>
      <c r="B622" s="146" t="s">
        <v>1539</v>
      </c>
      <c r="C622" s="146" t="s">
        <v>238</v>
      </c>
      <c r="D622" s="146" t="s">
        <v>239</v>
      </c>
      <c r="E622" s="146" t="s">
        <v>231</v>
      </c>
      <c r="F622" s="146" t="s">
        <v>228</v>
      </c>
      <c r="G622" s="146" t="s">
        <v>228</v>
      </c>
      <c r="H622" s="146" t="s">
        <v>228</v>
      </c>
      <c r="I622" s="146" t="s">
        <v>228</v>
      </c>
      <c r="J622" s="146" t="s">
        <v>240</v>
      </c>
      <c r="K622" s="146" t="s">
        <v>235</v>
      </c>
    </row>
    <row r="623" spans="1:11" x14ac:dyDescent="0.25">
      <c r="A623" s="146" t="s">
        <v>1540</v>
      </c>
      <c r="B623" s="146" t="s">
        <v>1541</v>
      </c>
      <c r="C623" s="146" t="s">
        <v>238</v>
      </c>
      <c r="D623" s="146" t="s">
        <v>239</v>
      </c>
      <c r="E623" s="146" t="s">
        <v>231</v>
      </c>
      <c r="F623" s="146" t="s">
        <v>228</v>
      </c>
      <c r="G623" s="146" t="s">
        <v>228</v>
      </c>
      <c r="H623" s="146" t="s">
        <v>228</v>
      </c>
      <c r="I623" s="146" t="s">
        <v>228</v>
      </c>
      <c r="J623" s="146" t="s">
        <v>422</v>
      </c>
      <c r="K623" s="146" t="s">
        <v>235</v>
      </c>
    </row>
    <row r="624" spans="1:11" x14ac:dyDescent="0.25">
      <c r="A624" s="146" t="s">
        <v>1542</v>
      </c>
      <c r="B624" s="146" t="s">
        <v>1543</v>
      </c>
      <c r="C624" s="146" t="s">
        <v>1544</v>
      </c>
      <c r="D624" s="146" t="s">
        <v>1545</v>
      </c>
      <c r="E624" s="146" t="s">
        <v>231</v>
      </c>
      <c r="F624" s="146" t="s">
        <v>228</v>
      </c>
      <c r="G624" s="146" t="s">
        <v>228</v>
      </c>
      <c r="H624" s="146" t="s">
        <v>228</v>
      </c>
      <c r="I624" s="146" t="s">
        <v>228</v>
      </c>
      <c r="J624" s="146" t="s">
        <v>325</v>
      </c>
      <c r="K624" s="146" t="s">
        <v>235</v>
      </c>
    </row>
    <row r="625" spans="1:11" x14ac:dyDescent="0.25">
      <c r="A625" s="146" t="s">
        <v>1546</v>
      </c>
      <c r="B625" s="146" t="s">
        <v>1547</v>
      </c>
      <c r="C625" s="146" t="s">
        <v>238</v>
      </c>
      <c r="D625" s="146" t="s">
        <v>239</v>
      </c>
      <c r="E625" s="146" t="s">
        <v>231</v>
      </c>
      <c r="F625" s="146" t="s">
        <v>228</v>
      </c>
      <c r="G625" s="146" t="s">
        <v>228</v>
      </c>
      <c r="H625" s="146" t="s">
        <v>228</v>
      </c>
      <c r="I625" s="146" t="s">
        <v>228</v>
      </c>
      <c r="J625" s="146" t="s">
        <v>240</v>
      </c>
      <c r="K625" s="146" t="s">
        <v>235</v>
      </c>
    </row>
    <row r="626" spans="1:11" x14ac:dyDescent="0.25">
      <c r="A626" s="146" t="s">
        <v>1548</v>
      </c>
      <c r="B626" s="146" t="s">
        <v>1549</v>
      </c>
      <c r="C626" s="146" t="s">
        <v>238</v>
      </c>
      <c r="D626" s="146" t="s">
        <v>239</v>
      </c>
      <c r="E626" s="146" t="s">
        <v>231</v>
      </c>
      <c r="F626" s="146" t="s">
        <v>228</v>
      </c>
      <c r="G626" s="146" t="s">
        <v>228</v>
      </c>
      <c r="H626" s="146" t="s">
        <v>228</v>
      </c>
      <c r="I626" s="146" t="s">
        <v>228</v>
      </c>
      <c r="J626" s="146" t="s">
        <v>1550</v>
      </c>
      <c r="K626" s="146" t="s">
        <v>235</v>
      </c>
    </row>
    <row r="627" spans="1:11" x14ac:dyDescent="0.25">
      <c r="A627" s="146" t="s">
        <v>1551</v>
      </c>
      <c r="B627" s="146" t="s">
        <v>1552</v>
      </c>
      <c r="C627" s="146" t="s">
        <v>238</v>
      </c>
      <c r="D627" s="146" t="s">
        <v>239</v>
      </c>
      <c r="E627" s="146" t="s">
        <v>231</v>
      </c>
      <c r="F627" s="146" t="s">
        <v>228</v>
      </c>
      <c r="G627" s="146" t="s">
        <v>228</v>
      </c>
      <c r="H627" s="146" t="s">
        <v>228</v>
      </c>
      <c r="I627" s="146" t="s">
        <v>228</v>
      </c>
      <c r="J627" s="146" t="s">
        <v>240</v>
      </c>
      <c r="K627" s="146" t="s">
        <v>235</v>
      </c>
    </row>
    <row r="628" spans="1:11" x14ac:dyDescent="0.25">
      <c r="A628" s="146" t="s">
        <v>1553</v>
      </c>
      <c r="B628" s="146" t="s">
        <v>1554</v>
      </c>
      <c r="C628" s="146" t="s">
        <v>238</v>
      </c>
      <c r="D628" s="146" t="s">
        <v>239</v>
      </c>
      <c r="E628" s="146" t="s">
        <v>231</v>
      </c>
      <c r="F628" s="146" t="s">
        <v>228</v>
      </c>
      <c r="G628" s="146" t="s">
        <v>228</v>
      </c>
      <c r="H628" s="146" t="s">
        <v>228</v>
      </c>
      <c r="I628" s="146" t="s">
        <v>228</v>
      </c>
      <c r="J628" s="146" t="s">
        <v>240</v>
      </c>
      <c r="K628" s="146" t="s">
        <v>235</v>
      </c>
    </row>
    <row r="629" spans="1:11" x14ac:dyDescent="0.25">
      <c r="A629" s="146" t="s">
        <v>1555</v>
      </c>
      <c r="B629" s="146" t="s">
        <v>1556</v>
      </c>
      <c r="C629" s="146" t="s">
        <v>238</v>
      </c>
      <c r="D629" s="146" t="s">
        <v>239</v>
      </c>
      <c r="E629" s="146" t="s">
        <v>231</v>
      </c>
      <c r="F629" s="146" t="s">
        <v>228</v>
      </c>
      <c r="G629" s="146" t="s">
        <v>228</v>
      </c>
      <c r="H629" s="146" t="s">
        <v>228</v>
      </c>
      <c r="I629" s="146" t="s">
        <v>228</v>
      </c>
      <c r="J629" s="146" t="s">
        <v>240</v>
      </c>
      <c r="K629" s="146" t="s">
        <v>235</v>
      </c>
    </row>
    <row r="630" spans="1:11" x14ac:dyDescent="0.25">
      <c r="A630" s="146" t="s">
        <v>1557</v>
      </c>
      <c r="B630" s="146" t="s">
        <v>1558</v>
      </c>
      <c r="C630" s="146" t="s">
        <v>238</v>
      </c>
      <c r="D630" s="146" t="s">
        <v>239</v>
      </c>
      <c r="E630" s="146" t="s">
        <v>231</v>
      </c>
      <c r="F630" s="146" t="s">
        <v>228</v>
      </c>
      <c r="G630" s="146" t="s">
        <v>228</v>
      </c>
      <c r="H630" s="146" t="s">
        <v>228</v>
      </c>
      <c r="I630" s="146" t="s">
        <v>228</v>
      </c>
      <c r="J630" s="146" t="s">
        <v>1559</v>
      </c>
      <c r="K630" s="146" t="s">
        <v>235</v>
      </c>
    </row>
    <row r="631" spans="1:11" x14ac:dyDescent="0.25">
      <c r="A631" s="146" t="s">
        <v>1560</v>
      </c>
      <c r="B631" s="146" t="s">
        <v>1561</v>
      </c>
      <c r="C631" s="146" t="s">
        <v>238</v>
      </c>
      <c r="D631" s="146" t="s">
        <v>239</v>
      </c>
      <c r="E631" s="146" t="s">
        <v>231</v>
      </c>
      <c r="F631" s="146" t="s">
        <v>228</v>
      </c>
      <c r="G631" s="146" t="s">
        <v>228</v>
      </c>
      <c r="H631" s="146" t="s">
        <v>228</v>
      </c>
      <c r="I631" s="146" t="s">
        <v>228</v>
      </c>
      <c r="J631" s="146" t="s">
        <v>234</v>
      </c>
      <c r="K631" s="146" t="s">
        <v>235</v>
      </c>
    </row>
    <row r="632" spans="1:11" x14ac:dyDescent="0.25">
      <c r="A632" s="146" t="s">
        <v>1562</v>
      </c>
      <c r="B632" s="146" t="s">
        <v>1563</v>
      </c>
      <c r="C632" s="146" t="s">
        <v>238</v>
      </c>
      <c r="D632" s="146" t="s">
        <v>239</v>
      </c>
      <c r="E632" s="146" t="s">
        <v>231</v>
      </c>
      <c r="F632" s="146" t="s">
        <v>228</v>
      </c>
      <c r="G632" s="146" t="s">
        <v>228</v>
      </c>
      <c r="H632" s="146" t="s">
        <v>228</v>
      </c>
      <c r="I632" s="146" t="s">
        <v>228</v>
      </c>
      <c r="J632" s="146" t="s">
        <v>240</v>
      </c>
      <c r="K632" s="146" t="s">
        <v>235</v>
      </c>
    </row>
    <row r="633" spans="1:11" x14ac:dyDescent="0.25">
      <c r="A633" s="146" t="s">
        <v>1564</v>
      </c>
      <c r="B633" s="146" t="s">
        <v>1565</v>
      </c>
      <c r="C633" s="146" t="s">
        <v>238</v>
      </c>
      <c r="D633" s="146" t="s">
        <v>239</v>
      </c>
      <c r="E633" s="146" t="s">
        <v>231</v>
      </c>
      <c r="F633" s="146" t="s">
        <v>228</v>
      </c>
      <c r="G633" s="146" t="s">
        <v>228</v>
      </c>
      <c r="H633" s="146" t="s">
        <v>228</v>
      </c>
      <c r="I633" s="146" t="s">
        <v>228</v>
      </c>
      <c r="J633" s="146" t="s">
        <v>1566</v>
      </c>
      <c r="K633" s="146" t="s">
        <v>235</v>
      </c>
    </row>
    <row r="634" spans="1:11" x14ac:dyDescent="0.25">
      <c r="A634" s="146" t="s">
        <v>1567</v>
      </c>
      <c r="B634" s="146" t="s">
        <v>1568</v>
      </c>
      <c r="C634" s="146" t="s">
        <v>238</v>
      </c>
      <c r="D634" s="146" t="s">
        <v>239</v>
      </c>
      <c r="E634" s="146" t="s">
        <v>231</v>
      </c>
      <c r="F634" s="146" t="s">
        <v>228</v>
      </c>
      <c r="G634" s="146" t="s">
        <v>228</v>
      </c>
      <c r="H634" s="146" t="s">
        <v>228</v>
      </c>
      <c r="I634" s="146" t="s">
        <v>228</v>
      </c>
      <c r="J634" s="146" t="s">
        <v>240</v>
      </c>
      <c r="K634" s="146" t="s">
        <v>235</v>
      </c>
    </row>
    <row r="635" spans="1:11" x14ac:dyDescent="0.25">
      <c r="A635" s="146" t="s">
        <v>1569</v>
      </c>
      <c r="B635" s="146" t="s">
        <v>1570</v>
      </c>
      <c r="C635" s="146" t="s">
        <v>238</v>
      </c>
      <c r="D635" s="146" t="s">
        <v>239</v>
      </c>
      <c r="E635" s="146" t="s">
        <v>231</v>
      </c>
      <c r="F635" s="146" t="s">
        <v>228</v>
      </c>
      <c r="G635" s="146" t="s">
        <v>228</v>
      </c>
      <c r="H635" s="146" t="s">
        <v>228</v>
      </c>
      <c r="I635" s="146" t="s">
        <v>228</v>
      </c>
      <c r="J635" s="146" t="s">
        <v>1571</v>
      </c>
      <c r="K635" s="146" t="s">
        <v>235</v>
      </c>
    </row>
    <row r="636" spans="1:11" x14ac:dyDescent="0.25">
      <c r="A636" s="146" t="s">
        <v>1572</v>
      </c>
      <c r="B636" s="146" t="s">
        <v>1573</v>
      </c>
      <c r="C636" s="146" t="s">
        <v>355</v>
      </c>
      <c r="D636" s="146" t="s">
        <v>1574</v>
      </c>
      <c r="E636" s="146" t="s">
        <v>1575</v>
      </c>
      <c r="F636" s="146" t="s">
        <v>228</v>
      </c>
      <c r="G636" s="146" t="s">
        <v>228</v>
      </c>
      <c r="H636" s="146" t="s">
        <v>228</v>
      </c>
      <c r="I636" s="146" t="s">
        <v>228</v>
      </c>
      <c r="J636" s="146" t="s">
        <v>1576</v>
      </c>
      <c r="K636" s="146" t="s">
        <v>235</v>
      </c>
    </row>
    <row r="637" spans="1:11" x14ac:dyDescent="0.25">
      <c r="A637" s="146" t="s">
        <v>1577</v>
      </c>
      <c r="B637" s="146" t="s">
        <v>1578</v>
      </c>
      <c r="C637" s="146" t="s">
        <v>238</v>
      </c>
      <c r="D637" s="146" t="s">
        <v>239</v>
      </c>
      <c r="E637" s="146" t="s">
        <v>231</v>
      </c>
      <c r="F637" s="146" t="s">
        <v>228</v>
      </c>
      <c r="G637" s="146" t="s">
        <v>228</v>
      </c>
      <c r="H637" s="146" t="s">
        <v>228</v>
      </c>
      <c r="I637" s="146" t="s">
        <v>228</v>
      </c>
      <c r="J637" s="146" t="s">
        <v>240</v>
      </c>
      <c r="K637" s="146" t="s">
        <v>235</v>
      </c>
    </row>
    <row r="638" spans="1:11" x14ac:dyDescent="0.25">
      <c r="A638" s="146" t="s">
        <v>1579</v>
      </c>
      <c r="B638" s="146" t="s">
        <v>1580</v>
      </c>
      <c r="C638" s="146" t="s">
        <v>332</v>
      </c>
      <c r="D638" s="146" t="s">
        <v>333</v>
      </c>
      <c r="E638" s="146" t="s">
        <v>231</v>
      </c>
      <c r="F638" s="146" t="s">
        <v>228</v>
      </c>
      <c r="G638" s="146" t="s">
        <v>228</v>
      </c>
      <c r="H638" s="146" t="s">
        <v>228</v>
      </c>
      <c r="I638" s="146" t="s">
        <v>228</v>
      </c>
      <c r="J638" s="146" t="s">
        <v>523</v>
      </c>
      <c r="K638" s="146" t="s">
        <v>235</v>
      </c>
    </row>
    <row r="639" spans="1:11" x14ac:dyDescent="0.25">
      <c r="A639" s="146" t="s">
        <v>1581</v>
      </c>
      <c r="B639" s="146" t="s">
        <v>1582</v>
      </c>
      <c r="C639" s="146" t="s">
        <v>1583</v>
      </c>
      <c r="D639" s="146" t="s">
        <v>1584</v>
      </c>
      <c r="E639" s="146" t="s">
        <v>231</v>
      </c>
      <c r="F639" s="146" t="s">
        <v>228</v>
      </c>
      <c r="G639" s="146" t="s">
        <v>228</v>
      </c>
      <c r="H639" s="146" t="s">
        <v>228</v>
      </c>
      <c r="I639" s="146" t="s">
        <v>228</v>
      </c>
      <c r="J639" s="146" t="s">
        <v>1585</v>
      </c>
      <c r="K639" s="146" t="s">
        <v>235</v>
      </c>
    </row>
    <row r="640" spans="1:11" x14ac:dyDescent="0.25">
      <c r="A640" s="146" t="s">
        <v>1586</v>
      </c>
      <c r="B640" s="146" t="s">
        <v>1587</v>
      </c>
      <c r="C640" s="146" t="s">
        <v>238</v>
      </c>
      <c r="D640" s="146" t="s">
        <v>239</v>
      </c>
      <c r="E640" s="146" t="s">
        <v>231</v>
      </c>
      <c r="F640" s="146" t="s">
        <v>228</v>
      </c>
      <c r="G640" s="146" t="s">
        <v>228</v>
      </c>
      <c r="H640" s="146" t="s">
        <v>228</v>
      </c>
      <c r="I640" s="146" t="s">
        <v>228</v>
      </c>
      <c r="J640" s="146" t="s">
        <v>240</v>
      </c>
      <c r="K640" s="146" t="s">
        <v>235</v>
      </c>
    </row>
    <row r="641" spans="1:11" x14ac:dyDescent="0.25">
      <c r="A641" s="146" t="s">
        <v>1588</v>
      </c>
      <c r="B641" s="146" t="s">
        <v>1589</v>
      </c>
      <c r="C641" s="146" t="s">
        <v>238</v>
      </c>
      <c r="D641" s="146" t="s">
        <v>239</v>
      </c>
      <c r="E641" s="146" t="s">
        <v>231</v>
      </c>
      <c r="F641" s="146" t="s">
        <v>228</v>
      </c>
      <c r="G641" s="146" t="s">
        <v>228</v>
      </c>
      <c r="H641" s="146" t="s">
        <v>228</v>
      </c>
      <c r="I641" s="146" t="s">
        <v>228</v>
      </c>
      <c r="J641" s="146" t="s">
        <v>240</v>
      </c>
      <c r="K641" s="146" t="s">
        <v>235</v>
      </c>
    </row>
    <row r="642" spans="1:11" x14ac:dyDescent="0.25">
      <c r="A642" s="146" t="s">
        <v>1590</v>
      </c>
      <c r="B642" s="146" t="s">
        <v>1591</v>
      </c>
      <c r="C642" s="146" t="s">
        <v>238</v>
      </c>
      <c r="D642" s="146" t="s">
        <v>239</v>
      </c>
      <c r="E642" s="146" t="s">
        <v>231</v>
      </c>
      <c r="F642" s="146" t="s">
        <v>228</v>
      </c>
      <c r="G642" s="146" t="s">
        <v>228</v>
      </c>
      <c r="H642" s="146" t="s">
        <v>228</v>
      </c>
      <c r="I642" s="146" t="s">
        <v>228</v>
      </c>
      <c r="J642" s="146" t="s">
        <v>1592</v>
      </c>
      <c r="K642" s="146" t="s">
        <v>235</v>
      </c>
    </row>
    <row r="643" spans="1:11" x14ac:dyDescent="0.25">
      <c r="A643" s="146" t="s">
        <v>1593</v>
      </c>
      <c r="B643" s="146" t="s">
        <v>1594</v>
      </c>
      <c r="C643" s="146" t="s">
        <v>238</v>
      </c>
      <c r="D643" s="146" t="s">
        <v>239</v>
      </c>
      <c r="E643" s="146" t="s">
        <v>231</v>
      </c>
      <c r="F643" s="146" t="s">
        <v>228</v>
      </c>
      <c r="G643" s="146" t="s">
        <v>228</v>
      </c>
      <c r="H643" s="146" t="s">
        <v>228</v>
      </c>
      <c r="I643" s="146" t="s">
        <v>228</v>
      </c>
      <c r="J643" s="146" t="s">
        <v>240</v>
      </c>
      <c r="K643" s="146" t="s">
        <v>235</v>
      </c>
    </row>
    <row r="644" spans="1:11" x14ac:dyDescent="0.25">
      <c r="A644" s="146" t="s">
        <v>1595</v>
      </c>
      <c r="B644" s="146" t="s">
        <v>1596</v>
      </c>
      <c r="C644" s="146" t="s">
        <v>238</v>
      </c>
      <c r="D644" s="146" t="s">
        <v>239</v>
      </c>
      <c r="E644" s="146" t="s">
        <v>231</v>
      </c>
      <c r="F644" s="146" t="s">
        <v>228</v>
      </c>
      <c r="G644" s="146" t="s">
        <v>228</v>
      </c>
      <c r="H644" s="146" t="s">
        <v>228</v>
      </c>
      <c r="I644" s="146" t="s">
        <v>228</v>
      </c>
      <c r="J644" s="146" t="s">
        <v>240</v>
      </c>
      <c r="K644" s="146" t="s">
        <v>235</v>
      </c>
    </row>
    <row r="645" spans="1:11" x14ac:dyDescent="0.25">
      <c r="A645" s="146" t="s">
        <v>1597</v>
      </c>
      <c r="B645" s="146" t="s">
        <v>1598</v>
      </c>
      <c r="C645" s="146" t="s">
        <v>332</v>
      </c>
      <c r="D645" s="146" t="s">
        <v>333</v>
      </c>
      <c r="E645" s="146" t="s">
        <v>231</v>
      </c>
      <c r="F645" s="146" t="s">
        <v>228</v>
      </c>
      <c r="G645" s="146" t="s">
        <v>228</v>
      </c>
      <c r="H645" s="146" t="s">
        <v>228</v>
      </c>
      <c r="I645" s="146" t="s">
        <v>228</v>
      </c>
      <c r="J645" s="146" t="s">
        <v>523</v>
      </c>
      <c r="K645" s="146" t="s">
        <v>235</v>
      </c>
    </row>
    <row r="646" spans="1:11" x14ac:dyDescent="0.25">
      <c r="A646" s="146" t="s">
        <v>1599</v>
      </c>
      <c r="B646" s="146" t="s">
        <v>1600</v>
      </c>
      <c r="C646" s="146" t="s">
        <v>238</v>
      </c>
      <c r="D646" s="146" t="s">
        <v>239</v>
      </c>
      <c r="E646" s="146" t="s">
        <v>231</v>
      </c>
      <c r="F646" s="146" t="s">
        <v>228</v>
      </c>
      <c r="G646" s="146" t="s">
        <v>228</v>
      </c>
      <c r="H646" s="146" t="s">
        <v>228</v>
      </c>
      <c r="I646" s="146" t="s">
        <v>228</v>
      </c>
      <c r="J646" s="146" t="s">
        <v>240</v>
      </c>
      <c r="K646" s="146" t="s">
        <v>235</v>
      </c>
    </row>
    <row r="647" spans="1:11" x14ac:dyDescent="0.25">
      <c r="A647" s="146" t="s">
        <v>1601</v>
      </c>
      <c r="B647" s="146" t="s">
        <v>1602</v>
      </c>
      <c r="C647" s="146" t="s">
        <v>238</v>
      </c>
      <c r="D647" s="146" t="s">
        <v>239</v>
      </c>
      <c r="E647" s="146" t="s">
        <v>231</v>
      </c>
      <c r="F647" s="146" t="s">
        <v>228</v>
      </c>
      <c r="G647" s="146" t="s">
        <v>228</v>
      </c>
      <c r="H647" s="146" t="s">
        <v>228</v>
      </c>
      <c r="I647" s="146" t="s">
        <v>228</v>
      </c>
      <c r="J647" s="146" t="s">
        <v>234</v>
      </c>
      <c r="K647" s="146" t="s">
        <v>235</v>
      </c>
    </row>
    <row r="648" spans="1:11" x14ac:dyDescent="0.25">
      <c r="A648" s="146" t="s">
        <v>1603</v>
      </c>
      <c r="B648" s="146" t="s">
        <v>1604</v>
      </c>
      <c r="C648" s="146" t="s">
        <v>238</v>
      </c>
      <c r="D648" s="146" t="s">
        <v>239</v>
      </c>
      <c r="E648" s="146" t="s">
        <v>231</v>
      </c>
      <c r="F648" s="146" t="s">
        <v>228</v>
      </c>
      <c r="G648" s="146" t="s">
        <v>228</v>
      </c>
      <c r="H648" s="146" t="s">
        <v>228</v>
      </c>
      <c r="I648" s="146" t="s">
        <v>228</v>
      </c>
      <c r="J648" s="146" t="s">
        <v>1404</v>
      </c>
      <c r="K648" s="146" t="s">
        <v>235</v>
      </c>
    </row>
    <row r="649" spans="1:11" x14ac:dyDescent="0.25">
      <c r="A649" s="146" t="s">
        <v>1605</v>
      </c>
      <c r="B649" s="146" t="s">
        <v>1606</v>
      </c>
      <c r="C649" s="146" t="s">
        <v>238</v>
      </c>
      <c r="D649" s="146" t="s">
        <v>239</v>
      </c>
      <c r="E649" s="146" t="s">
        <v>231</v>
      </c>
      <c r="F649" s="146" t="s">
        <v>228</v>
      </c>
      <c r="G649" s="146" t="s">
        <v>228</v>
      </c>
      <c r="H649" s="146" t="s">
        <v>228</v>
      </c>
      <c r="I649" s="146" t="s">
        <v>228</v>
      </c>
      <c r="J649" s="146" t="s">
        <v>240</v>
      </c>
      <c r="K649" s="146" t="s">
        <v>235</v>
      </c>
    </row>
    <row r="650" spans="1:11" x14ac:dyDescent="0.25">
      <c r="A650" s="146" t="s">
        <v>1607</v>
      </c>
      <c r="B650" s="146" t="s">
        <v>1608</v>
      </c>
      <c r="C650" s="146" t="s">
        <v>238</v>
      </c>
      <c r="D650" s="146" t="s">
        <v>239</v>
      </c>
      <c r="E650" s="146" t="s">
        <v>231</v>
      </c>
      <c r="F650" s="146" t="s">
        <v>228</v>
      </c>
      <c r="G650" s="146" t="s">
        <v>228</v>
      </c>
      <c r="H650" s="146" t="s">
        <v>228</v>
      </c>
      <c r="I650" s="146" t="s">
        <v>228</v>
      </c>
      <c r="J650" s="146" t="s">
        <v>408</v>
      </c>
      <c r="K650" s="146" t="s">
        <v>235</v>
      </c>
    </row>
    <row r="651" spans="1:11" x14ac:dyDescent="0.25">
      <c r="A651" s="146" t="s">
        <v>1609</v>
      </c>
      <c r="B651" s="146" t="s">
        <v>1610</v>
      </c>
      <c r="C651" s="146" t="s">
        <v>238</v>
      </c>
      <c r="D651" s="146" t="s">
        <v>239</v>
      </c>
      <c r="E651" s="146" t="s">
        <v>231</v>
      </c>
      <c r="F651" s="146" t="s">
        <v>228</v>
      </c>
      <c r="G651" s="146" t="s">
        <v>228</v>
      </c>
      <c r="H651" s="146" t="s">
        <v>228</v>
      </c>
      <c r="I651" s="146" t="s">
        <v>228</v>
      </c>
      <c r="J651" s="146" t="s">
        <v>1611</v>
      </c>
      <c r="K651" s="146" t="s">
        <v>235</v>
      </c>
    </row>
    <row r="652" spans="1:11" x14ac:dyDescent="0.25">
      <c r="A652" s="146" t="s">
        <v>1612</v>
      </c>
      <c r="B652" s="146" t="s">
        <v>1613</v>
      </c>
      <c r="C652" s="146" t="s">
        <v>238</v>
      </c>
      <c r="D652" s="146" t="s">
        <v>239</v>
      </c>
      <c r="E652" s="146" t="s">
        <v>231</v>
      </c>
      <c r="F652" s="146" t="s">
        <v>228</v>
      </c>
      <c r="G652" s="146" t="s">
        <v>228</v>
      </c>
      <c r="H652" s="146" t="s">
        <v>228</v>
      </c>
      <c r="I652" s="146" t="s">
        <v>228</v>
      </c>
      <c r="J652" s="146" t="s">
        <v>1550</v>
      </c>
      <c r="K652" s="146" t="s">
        <v>235</v>
      </c>
    </row>
    <row r="653" spans="1:11" x14ac:dyDescent="0.25">
      <c r="A653" s="146" t="s">
        <v>1614</v>
      </c>
      <c r="B653" s="146" t="s">
        <v>1615</v>
      </c>
      <c r="C653" s="146" t="s">
        <v>238</v>
      </c>
      <c r="D653" s="146" t="s">
        <v>239</v>
      </c>
      <c r="E653" s="146" t="s">
        <v>231</v>
      </c>
      <c r="F653" s="146" t="s">
        <v>228</v>
      </c>
      <c r="G653" s="146" t="s">
        <v>228</v>
      </c>
      <c r="H653" s="146" t="s">
        <v>228</v>
      </c>
      <c r="I653" s="146" t="s">
        <v>228</v>
      </c>
      <c r="J653" s="146" t="s">
        <v>240</v>
      </c>
      <c r="K653" s="146" t="s">
        <v>235</v>
      </c>
    </row>
    <row r="654" spans="1:11" x14ac:dyDescent="0.25">
      <c r="A654" s="146" t="s">
        <v>1616</v>
      </c>
      <c r="B654" s="146" t="s">
        <v>1617</v>
      </c>
      <c r="C654" s="146" t="s">
        <v>238</v>
      </c>
      <c r="D654" s="146" t="s">
        <v>239</v>
      </c>
      <c r="E654" s="146" t="s">
        <v>231</v>
      </c>
      <c r="F654" s="146" t="s">
        <v>228</v>
      </c>
      <c r="G654" s="146" t="s">
        <v>228</v>
      </c>
      <c r="H654" s="146" t="s">
        <v>228</v>
      </c>
      <c r="I654" s="146" t="s">
        <v>228</v>
      </c>
      <c r="J654" s="146" t="s">
        <v>1618</v>
      </c>
      <c r="K654" s="146" t="s">
        <v>235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59999389629810485"/>
  </sheetPr>
  <dimension ref="A1:F22"/>
  <sheetViews>
    <sheetView zoomScale="90" zoomScaleNormal="90" workbookViewId="0">
      <pane ySplit="10" topLeftCell="A11" activePane="bottomLeft" state="frozen"/>
      <selection activeCell="H56" sqref="H56"/>
      <selection pane="bottomLeft" sqref="A1:F2"/>
    </sheetView>
  </sheetViews>
  <sheetFormatPr defaultColWidth="8.85546875" defaultRowHeight="14.25" x14ac:dyDescent="0.25"/>
  <cols>
    <col min="1" max="1" width="18.85546875" style="222" customWidth="1"/>
    <col min="2" max="2" width="21.5703125" style="222" customWidth="1"/>
    <col min="3" max="3" width="16" style="222" customWidth="1"/>
    <col min="4" max="4" width="16.28515625" style="222" customWidth="1"/>
    <col min="5" max="5" width="65.7109375" style="222" customWidth="1"/>
    <col min="6" max="6" width="26.28515625" style="222" customWidth="1"/>
    <col min="7" max="16384" width="8.85546875" style="222"/>
  </cols>
  <sheetData>
    <row r="1" spans="1:6" x14ac:dyDescent="0.25">
      <c r="A1" s="383" t="s">
        <v>1875</v>
      </c>
      <c r="B1" s="384"/>
      <c r="C1" s="384"/>
      <c r="D1" s="384"/>
      <c r="E1" s="384"/>
      <c r="F1" s="385"/>
    </row>
    <row r="2" spans="1:6" x14ac:dyDescent="0.25">
      <c r="A2" s="386"/>
      <c r="B2" s="387"/>
      <c r="C2" s="387"/>
      <c r="D2" s="387"/>
      <c r="E2" s="387"/>
      <c r="F2" s="388"/>
    </row>
    <row r="4" spans="1:6" ht="15" x14ac:dyDescent="0.25">
      <c r="A4" s="223" t="s">
        <v>1747</v>
      </c>
      <c r="B4" s="224" t="s">
        <v>1879</v>
      </c>
    </row>
    <row r="5" spans="1:6" ht="15" x14ac:dyDescent="0.25">
      <c r="A5" s="223" t="s">
        <v>1755</v>
      </c>
      <c r="B5" s="224" t="s">
        <v>1891</v>
      </c>
    </row>
    <row r="6" spans="1:6" ht="15" x14ac:dyDescent="0.25">
      <c r="A6" s="223"/>
      <c r="B6" s="224"/>
    </row>
    <row r="7" spans="1:6" ht="15" x14ac:dyDescent="0.25">
      <c r="A7" s="225" t="s">
        <v>1720</v>
      </c>
      <c r="B7" s="224"/>
    </row>
    <row r="8" spans="1:6" ht="15" x14ac:dyDescent="0.25">
      <c r="B8" s="226"/>
      <c r="C8" s="224"/>
    </row>
    <row r="9" spans="1:6" ht="15" x14ac:dyDescent="0.25">
      <c r="A9" s="227" t="s">
        <v>1712</v>
      </c>
    </row>
    <row r="10" spans="1:6" ht="15" x14ac:dyDescent="0.25">
      <c r="A10" s="228" t="s">
        <v>1713</v>
      </c>
      <c r="B10" s="228" t="s">
        <v>1714</v>
      </c>
      <c r="C10" s="228" t="s">
        <v>1746</v>
      </c>
      <c r="D10" s="228" t="s">
        <v>1784</v>
      </c>
      <c r="E10" s="228" t="s">
        <v>1715</v>
      </c>
      <c r="F10" s="228" t="s">
        <v>1716</v>
      </c>
    </row>
    <row r="11" spans="1:6" ht="71.25" x14ac:dyDescent="0.25">
      <c r="A11" s="222" t="s">
        <v>1719</v>
      </c>
      <c r="B11" s="354" t="s">
        <v>1803</v>
      </c>
      <c r="C11" s="354" t="s">
        <v>1717</v>
      </c>
      <c r="D11" s="354" t="s">
        <v>1843</v>
      </c>
      <c r="E11" s="354" t="s">
        <v>1822</v>
      </c>
      <c r="F11" s="354" t="s">
        <v>1823</v>
      </c>
    </row>
    <row r="12" spans="1:6" ht="42.75" x14ac:dyDescent="0.25">
      <c r="A12" s="222" t="s">
        <v>1719</v>
      </c>
      <c r="B12" s="354" t="s">
        <v>1850</v>
      </c>
      <c r="C12" s="222" t="s">
        <v>1851</v>
      </c>
      <c r="D12" s="222" t="s">
        <v>1852</v>
      </c>
      <c r="E12" s="354" t="s">
        <v>1853</v>
      </c>
      <c r="F12" s="222" t="s">
        <v>1849</v>
      </c>
    </row>
    <row r="13" spans="1:6" ht="42.75" x14ac:dyDescent="0.25">
      <c r="A13" s="222" t="s">
        <v>1719</v>
      </c>
      <c r="B13" s="354" t="s">
        <v>1854</v>
      </c>
      <c r="C13" s="354" t="s">
        <v>1717</v>
      </c>
      <c r="D13" s="354" t="s">
        <v>1855</v>
      </c>
      <c r="E13" s="354" t="s">
        <v>1856</v>
      </c>
      <c r="F13" s="222" t="s">
        <v>1750</v>
      </c>
    </row>
    <row r="14" spans="1:6" ht="85.5" x14ac:dyDescent="0.25">
      <c r="A14" s="222" t="s">
        <v>1719</v>
      </c>
      <c r="B14" s="354" t="s">
        <v>1803</v>
      </c>
      <c r="C14" s="354" t="s">
        <v>1717</v>
      </c>
      <c r="D14" s="354" t="s">
        <v>1857</v>
      </c>
      <c r="E14" s="354" t="s">
        <v>1858</v>
      </c>
      <c r="F14" s="354" t="s">
        <v>1859</v>
      </c>
    </row>
    <row r="15" spans="1:6" ht="99.75" x14ac:dyDescent="0.25">
      <c r="A15" s="222" t="s">
        <v>1719</v>
      </c>
      <c r="B15" s="354" t="s">
        <v>1803</v>
      </c>
      <c r="C15" s="354" t="s">
        <v>1717</v>
      </c>
      <c r="D15" s="354" t="s">
        <v>1862</v>
      </c>
      <c r="E15" s="222" t="s">
        <v>1861</v>
      </c>
      <c r="F15" s="222" t="s">
        <v>1860</v>
      </c>
    </row>
    <row r="16" spans="1:6" ht="57" x14ac:dyDescent="0.25">
      <c r="A16" s="222" t="s">
        <v>1719</v>
      </c>
      <c r="B16" s="354" t="s">
        <v>1803</v>
      </c>
      <c r="C16" s="354" t="s">
        <v>1717</v>
      </c>
      <c r="D16" s="354" t="s">
        <v>1864</v>
      </c>
      <c r="E16" s="222" t="s">
        <v>1863</v>
      </c>
      <c r="F16" s="222" t="s">
        <v>1865</v>
      </c>
    </row>
    <row r="17" spans="1:6" ht="57" x14ac:dyDescent="0.25">
      <c r="A17" s="222" t="s">
        <v>1719</v>
      </c>
      <c r="B17" s="354" t="s">
        <v>1803</v>
      </c>
      <c r="C17" s="354" t="s">
        <v>1717</v>
      </c>
      <c r="D17" s="354" t="s">
        <v>1866</v>
      </c>
      <c r="E17" s="222" t="s">
        <v>1868</v>
      </c>
      <c r="F17" s="222" t="s">
        <v>1867</v>
      </c>
    </row>
    <row r="18" spans="1:6" ht="28.5" x14ac:dyDescent="0.25">
      <c r="A18" s="222" t="s">
        <v>1719</v>
      </c>
      <c r="B18" s="354" t="s">
        <v>1799</v>
      </c>
      <c r="C18" s="354" t="s">
        <v>1717</v>
      </c>
      <c r="D18" s="354" t="s">
        <v>1800</v>
      </c>
      <c r="E18" s="354" t="s">
        <v>1801</v>
      </c>
      <c r="F18" s="354" t="s">
        <v>1802</v>
      </c>
    </row>
    <row r="19" spans="1:6" ht="42.75" x14ac:dyDescent="0.25">
      <c r="A19" s="222" t="s">
        <v>1749</v>
      </c>
      <c r="B19" s="354" t="s">
        <v>1829</v>
      </c>
      <c r="C19" s="354" t="s">
        <v>1869</v>
      </c>
      <c r="D19" s="354" t="s">
        <v>1869</v>
      </c>
      <c r="E19" s="354" t="s">
        <v>1871</v>
      </c>
      <c r="F19" s="222" t="s">
        <v>1718</v>
      </c>
    </row>
    <row r="20" spans="1:6" ht="57" x14ac:dyDescent="0.25">
      <c r="A20" s="222" t="s">
        <v>1749</v>
      </c>
      <c r="B20" s="354" t="s">
        <v>1872</v>
      </c>
      <c r="C20" s="354" t="s">
        <v>1873</v>
      </c>
      <c r="D20" s="354" t="s">
        <v>1873</v>
      </c>
      <c r="E20" s="354" t="s">
        <v>1874</v>
      </c>
      <c r="F20" s="222" t="s">
        <v>1834</v>
      </c>
    </row>
    <row r="21" spans="1:6" ht="42.75" x14ac:dyDescent="0.25">
      <c r="A21" s="222" t="s">
        <v>1749</v>
      </c>
      <c r="B21" s="354" t="s">
        <v>1799</v>
      </c>
      <c r="C21" s="354" t="s">
        <v>1717</v>
      </c>
      <c r="D21" s="354" t="s">
        <v>1835</v>
      </c>
      <c r="E21" s="354" t="s">
        <v>1836</v>
      </c>
      <c r="F21" s="354" t="s">
        <v>1802</v>
      </c>
    </row>
    <row r="22" spans="1:6" ht="71.25" x14ac:dyDescent="0.25">
      <c r="A22" s="222" t="s">
        <v>1749</v>
      </c>
      <c r="B22" s="354" t="s">
        <v>1803</v>
      </c>
      <c r="C22" s="354" t="s">
        <v>1717</v>
      </c>
      <c r="D22" s="354" t="s">
        <v>1881</v>
      </c>
      <c r="E22" s="354" t="s">
        <v>1822</v>
      </c>
      <c r="F22" s="354" t="s">
        <v>1823</v>
      </c>
    </row>
  </sheetData>
  <sheetProtection algorithmName="SHA-512" hashValue="lh0i7ZvTiqL9vQeDvXIk9uiEQvufvZvjqiTz+aVZaWEAh5jq8Ng97VxyL3cRDEeH48T1nXq5+Dg8QKHdckq4hA==" saltValue="j2V7NplSjINb20GWjWLn8Q==" spinCount="100000" sheet="1" formatColumns="0" formatRows="0" sort="0" autoFilter="0" pivotTables="0"/>
  <autoFilter ref="A10:F10" xr:uid="{00000000-0001-0000-0200-000000000000}"/>
  <mergeCells count="1">
    <mergeCell ref="A1:F2"/>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9" tint="0.59999389629810485"/>
    <pageSetUpPr fitToPage="1"/>
  </sheetPr>
  <dimension ref="A1:AH198"/>
  <sheetViews>
    <sheetView tabSelected="1" zoomScale="70" zoomScaleNormal="70" workbookViewId="0">
      <selection activeCell="Q40" sqref="Q40"/>
    </sheetView>
  </sheetViews>
  <sheetFormatPr defaultColWidth="9.140625" defaultRowHeight="15" x14ac:dyDescent="0.25"/>
  <cols>
    <col min="1" max="1" width="13.28515625" style="37" customWidth="1"/>
    <col min="2" max="2" width="12.5703125" style="37" customWidth="1"/>
    <col min="3" max="5" width="10.7109375" style="37" customWidth="1"/>
    <col min="6" max="6" width="15.85546875" style="37" customWidth="1"/>
    <col min="7" max="7" width="15.5703125" style="37" customWidth="1"/>
    <col min="8" max="8" width="15.28515625" style="53" customWidth="1"/>
    <col min="9" max="9" width="16.85546875" style="37" customWidth="1"/>
    <col min="10" max="10" width="21.28515625" style="37" customWidth="1"/>
    <col min="11" max="11" width="19.140625" style="37" customWidth="1"/>
    <col min="12" max="12" width="4" style="37" customWidth="1"/>
    <col min="13" max="14" width="17.28515625" style="37" customWidth="1"/>
    <col min="15" max="15" width="4" style="37" customWidth="1"/>
    <col min="16" max="17" width="15.85546875" style="37" customWidth="1"/>
    <col min="18" max="18" width="4" style="37" customWidth="1"/>
    <col min="19" max="19" width="15.85546875" style="37" customWidth="1"/>
    <col min="20" max="20" width="56.28515625" style="37" customWidth="1"/>
    <col min="21" max="22" width="9.140625" style="37"/>
    <col min="23" max="23" width="7.28515625" style="37" customWidth="1"/>
    <col min="24" max="24" width="9.85546875" style="37" customWidth="1"/>
    <col min="25" max="26" width="19.7109375" style="37" customWidth="1"/>
    <col min="27" max="27" width="4" style="37" customWidth="1"/>
    <col min="28" max="29" width="19.7109375" style="37" customWidth="1"/>
    <col min="30" max="30" width="4" style="37" customWidth="1"/>
    <col min="31" max="32" width="19.7109375" style="37" customWidth="1"/>
    <col min="33" max="33" width="9.140625" style="37"/>
    <col min="34" max="34" width="14.28515625" style="37" bestFit="1" customWidth="1"/>
    <col min="35" max="16384" width="9.140625" style="37"/>
  </cols>
  <sheetData>
    <row r="1" spans="1:32" ht="45" customHeight="1" x14ac:dyDescent="0.25">
      <c r="A1" s="399" t="s">
        <v>1876</v>
      </c>
      <c r="B1" s="399"/>
      <c r="C1" s="399"/>
      <c r="D1" s="399"/>
      <c r="E1" s="399"/>
      <c r="F1" s="399"/>
      <c r="G1" s="399"/>
      <c r="H1" s="399"/>
      <c r="I1" s="399"/>
      <c r="J1" s="399"/>
      <c r="K1" s="399"/>
      <c r="L1" s="138"/>
      <c r="M1" s="138"/>
      <c r="N1" s="138"/>
      <c r="O1" s="138"/>
    </row>
    <row r="2" spans="1:32" ht="16.5" customHeight="1" x14ac:dyDescent="0.25">
      <c r="A2" s="141" t="s">
        <v>0</v>
      </c>
      <c r="B2" s="137"/>
      <c r="C2" s="137"/>
      <c r="D2" s="137"/>
      <c r="E2" s="137"/>
      <c r="F2" s="137"/>
      <c r="G2" s="137"/>
      <c r="H2" s="137"/>
      <c r="I2" s="137"/>
      <c r="J2" s="137"/>
      <c r="K2" s="137"/>
      <c r="L2" s="137"/>
      <c r="M2" s="137"/>
      <c r="N2" s="137"/>
      <c r="O2" s="137"/>
    </row>
    <row r="3" spans="1:32" ht="16.5" customHeight="1" x14ac:dyDescent="0.25">
      <c r="A3" s="400" t="s">
        <v>12</v>
      </c>
      <c r="B3" s="400"/>
      <c r="C3" s="400"/>
      <c r="D3" s="400"/>
      <c r="E3" s="400"/>
      <c r="F3" s="401" t="s">
        <v>25</v>
      </c>
      <c r="G3" s="401"/>
      <c r="H3" s="401"/>
      <c r="I3" s="401"/>
    </row>
    <row r="4" spans="1:32" ht="16.5" customHeight="1" x14ac:dyDescent="0.2">
      <c r="A4" s="400" t="s">
        <v>206</v>
      </c>
      <c r="B4" s="400"/>
      <c r="C4" s="400"/>
      <c r="D4" s="400"/>
      <c r="E4" s="400"/>
      <c r="F4" s="402"/>
      <c r="G4" s="402"/>
      <c r="H4" s="402"/>
      <c r="I4" s="402"/>
    </row>
    <row r="5" spans="1:32" ht="16.5" customHeight="1" x14ac:dyDescent="0.2">
      <c r="A5" s="400" t="s">
        <v>1636</v>
      </c>
      <c r="B5" s="400"/>
      <c r="C5" s="400"/>
      <c r="D5" s="400"/>
      <c r="E5" s="400"/>
      <c r="F5" s="402"/>
      <c r="G5" s="402"/>
      <c r="H5" s="402"/>
      <c r="I5" s="402"/>
      <c r="L5" s="39"/>
      <c r="M5" s="39"/>
      <c r="N5" s="39"/>
      <c r="O5" s="39"/>
      <c r="P5" s="39"/>
      <c r="Q5" s="39"/>
    </row>
    <row r="6" spans="1:32" ht="16.5" customHeight="1" x14ac:dyDescent="0.25">
      <c r="A6" s="400" t="s">
        <v>1674</v>
      </c>
      <c r="B6" s="400"/>
      <c r="C6" s="400"/>
      <c r="D6" s="400"/>
      <c r="E6" s="400"/>
      <c r="F6" s="403"/>
      <c r="G6" s="403"/>
      <c r="H6" s="403"/>
      <c r="I6" s="403"/>
      <c r="L6" s="40"/>
      <c r="M6" s="40"/>
      <c r="N6" s="40"/>
      <c r="O6" s="40"/>
      <c r="P6" s="39"/>
      <c r="Q6" s="39"/>
    </row>
    <row r="7" spans="1:32" ht="16.5" customHeight="1" x14ac:dyDescent="0.25">
      <c r="A7" s="400" t="s">
        <v>3</v>
      </c>
      <c r="B7" s="400"/>
      <c r="C7" s="400"/>
      <c r="D7" s="400"/>
      <c r="E7" s="400"/>
      <c r="F7" s="403"/>
      <c r="G7" s="403"/>
      <c r="H7" s="403"/>
      <c r="I7" s="403"/>
      <c r="K7" s="85"/>
      <c r="L7" s="40"/>
      <c r="M7" s="40"/>
      <c r="N7" s="40"/>
      <c r="O7" s="40"/>
      <c r="P7" s="39"/>
      <c r="Q7" s="39"/>
    </row>
    <row r="8" spans="1:32" ht="16.5" customHeight="1" x14ac:dyDescent="0.25">
      <c r="A8" s="400" t="s">
        <v>1637</v>
      </c>
      <c r="B8" s="400"/>
      <c r="C8" s="400"/>
      <c r="D8" s="400"/>
      <c r="E8" s="400"/>
      <c r="F8" s="403"/>
      <c r="G8" s="403"/>
      <c r="H8" s="403"/>
      <c r="I8" s="403"/>
      <c r="K8" s="85"/>
      <c r="L8" s="40"/>
      <c r="M8" s="40"/>
      <c r="N8" s="40"/>
      <c r="O8" s="40"/>
      <c r="P8" s="39"/>
      <c r="Q8" s="39"/>
    </row>
    <row r="9" spans="1:32" ht="16.5" customHeight="1" thickBot="1" x14ac:dyDescent="0.3">
      <c r="A9" s="400" t="s">
        <v>1635</v>
      </c>
      <c r="B9" s="400"/>
      <c r="C9" s="400"/>
      <c r="D9" s="400"/>
      <c r="E9" s="400"/>
      <c r="F9" s="404" t="str">
        <f>IFERROR(IF(F7="Proprietary","Proprietary Fund",VLOOKUP(F5,qryIndex02a!$A$2:$K$654,4,FALSE)),"Unidentified")</f>
        <v>Unidentified</v>
      </c>
      <c r="G9" s="404"/>
      <c r="H9" s="404"/>
      <c r="I9" s="404"/>
      <c r="K9" s="39"/>
      <c r="L9" s="39"/>
      <c r="M9" s="39"/>
      <c r="N9" s="39"/>
      <c r="O9" s="39"/>
      <c r="P9" s="39"/>
    </row>
    <row r="10" spans="1:32" ht="16.5" customHeight="1" x14ac:dyDescent="0.2">
      <c r="A10" s="38"/>
      <c r="B10" s="38"/>
      <c r="C10" s="38"/>
      <c r="D10" s="38"/>
      <c r="E10" s="40"/>
      <c r="F10" s="39"/>
      <c r="G10" s="39"/>
      <c r="H10" s="41"/>
      <c r="I10" s="39"/>
      <c r="J10" s="39"/>
      <c r="K10" s="39"/>
      <c r="L10" s="39"/>
      <c r="M10" s="39"/>
      <c r="N10" s="39"/>
      <c r="O10" s="39"/>
      <c r="P10" s="39"/>
      <c r="V10" s="407" t="s">
        <v>1785</v>
      </c>
      <c r="W10" s="408"/>
      <c r="X10" s="408"/>
      <c r="Y10" s="408"/>
      <c r="Z10" s="408"/>
      <c r="AA10" s="256"/>
      <c r="AB10" s="237"/>
      <c r="AC10" s="238"/>
      <c r="AD10" s="237"/>
      <c r="AE10" s="239"/>
      <c r="AF10" s="240"/>
    </row>
    <row r="11" spans="1:32" ht="18" customHeight="1" x14ac:dyDescent="0.3">
      <c r="A11" s="38"/>
      <c r="B11" s="389" t="str">
        <f>IF($F$8="Governmental Fund",'LS-Department Note Disclosure'!$D$37,IF($F$8="Proprietary - Internal Service Fund",'LS-Department Note Disclosure'!$D$68,IF($F$8="Proprietary - Enterprise Fund",'LS-Department Note Disclosure'!$D$99,"")))</f>
        <v/>
      </c>
      <c r="C11" s="389"/>
      <c r="D11" s="389"/>
      <c r="E11" s="389"/>
      <c r="F11" s="389"/>
      <c r="G11" s="389"/>
      <c r="H11" s="389"/>
      <c r="I11" s="389"/>
      <c r="J11" s="389"/>
      <c r="K11" s="39"/>
      <c r="L11" s="39"/>
      <c r="M11" s="39"/>
      <c r="N11" s="39"/>
      <c r="O11" s="39"/>
      <c r="P11" s="39"/>
      <c r="V11" s="409"/>
      <c r="W11" s="410"/>
      <c r="X11" s="410"/>
      <c r="Y11" s="410"/>
      <c r="Z11" s="410"/>
      <c r="AA11" s="281"/>
      <c r="AB11" s="282"/>
      <c r="AC11" s="283"/>
      <c r="AD11" s="282"/>
      <c r="AE11" s="241"/>
      <c r="AF11" s="242"/>
    </row>
    <row r="12" spans="1:32" s="163" customFormat="1" ht="21" customHeight="1" x14ac:dyDescent="0.3">
      <c r="A12" s="157" t="s">
        <v>172</v>
      </c>
      <c r="B12" s="158"/>
      <c r="C12" s="159"/>
      <c r="D12" s="159"/>
      <c r="E12" s="159"/>
      <c r="F12" s="160"/>
      <c r="G12" s="160"/>
      <c r="H12" s="161"/>
      <c r="I12" s="161"/>
      <c r="J12" s="160"/>
      <c r="K12" s="160"/>
      <c r="L12" s="39"/>
      <c r="M12" s="39"/>
      <c r="N12" s="162"/>
      <c r="O12" s="162"/>
      <c r="P12" s="162"/>
      <c r="V12" s="305"/>
      <c r="W12" s="306" t="s">
        <v>1786</v>
      </c>
      <c r="X12" s="307"/>
      <c r="Y12" s="307"/>
      <c r="Z12" s="308"/>
      <c r="AA12" s="308"/>
      <c r="AB12" s="308"/>
      <c r="AC12" s="308"/>
      <c r="AD12" s="308"/>
      <c r="AE12" s="308"/>
      <c r="AF12" s="309"/>
    </row>
    <row r="13" spans="1:32" s="173" customFormat="1" ht="16.5" customHeight="1" x14ac:dyDescent="0.3">
      <c r="A13" s="170" t="s">
        <v>4</v>
      </c>
      <c r="B13" s="199"/>
      <c r="D13" s="176"/>
      <c r="E13" s="176"/>
      <c r="F13" s="177"/>
      <c r="G13" s="177"/>
      <c r="H13" s="167"/>
      <c r="I13" s="167"/>
      <c r="J13" s="172"/>
      <c r="K13" s="172"/>
      <c r="V13" s="243" t="str">
        <f>A13</f>
        <v>Entry #</v>
      </c>
      <c r="W13" s="284"/>
      <c r="X13" s="284"/>
      <c r="Y13" s="285"/>
      <c r="Z13" s="286"/>
      <c r="AA13" s="266"/>
      <c r="AB13" s="266"/>
      <c r="AC13" s="266"/>
      <c r="AD13" s="266"/>
      <c r="AE13" s="287" t="s">
        <v>1787</v>
      </c>
      <c r="AF13" s="244" t="s">
        <v>1788</v>
      </c>
    </row>
    <row r="14" spans="1:32" ht="16.5" customHeight="1" x14ac:dyDescent="0.3">
      <c r="A14" s="136">
        <v>0</v>
      </c>
      <c r="B14" s="165" t="s">
        <v>1661</v>
      </c>
      <c r="C14" s="43"/>
      <c r="D14" s="43"/>
      <c r="E14" s="43"/>
      <c r="F14" s="44"/>
      <c r="G14" s="44"/>
      <c r="H14" s="45"/>
      <c r="I14" s="45"/>
      <c r="J14" s="172"/>
      <c r="K14" s="172"/>
      <c r="L14" s="173"/>
      <c r="M14" s="391" t="s">
        <v>1664</v>
      </c>
      <c r="N14" s="392"/>
      <c r="O14" s="173"/>
      <c r="P14" s="391" t="s">
        <v>1659</v>
      </c>
      <c r="Q14" s="392"/>
      <c r="R14" s="173"/>
      <c r="S14" s="204" t="s">
        <v>1660</v>
      </c>
      <c r="V14" s="245">
        <f>A14</f>
        <v>0</v>
      </c>
      <c r="W14" s="284"/>
      <c r="X14" s="284"/>
      <c r="Y14" s="405" t="str">
        <f>M14</f>
        <v>Combined Lessee Templates</v>
      </c>
      <c r="Z14" s="406"/>
      <c r="AA14" s="266"/>
      <c r="AB14" s="405" t="str">
        <f>P14</f>
        <v>From SCO BB List</v>
      </c>
      <c r="AC14" s="406"/>
      <c r="AD14" s="266"/>
      <c r="AE14" s="405" t="s">
        <v>1789</v>
      </c>
      <c r="AF14" s="406"/>
    </row>
    <row r="15" spans="1:32" ht="16.5" customHeight="1" x14ac:dyDescent="0.25">
      <c r="A15" s="210" t="s">
        <v>1679</v>
      </c>
      <c r="B15" s="26" t="s">
        <v>178</v>
      </c>
      <c r="C15" s="26"/>
      <c r="D15" s="26"/>
      <c r="E15" s="178"/>
      <c r="F15" s="179"/>
      <c r="G15" s="179"/>
      <c r="H15" s="180"/>
      <c r="I15" s="180"/>
      <c r="J15" s="229">
        <f>M15</f>
        <v>0</v>
      </c>
      <c r="M15" s="181"/>
      <c r="P15" s="181"/>
      <c r="Q15" s="206"/>
      <c r="S15" s="205">
        <f>P15-M15</f>
        <v>0</v>
      </c>
      <c r="T15" s="232" t="s">
        <v>1743</v>
      </c>
      <c r="V15" s="246"/>
      <c r="W15" s="398" t="str">
        <f>LEFT(B15,13)</f>
        <v>Dr: Acct 0476</v>
      </c>
      <c r="X15" s="398"/>
      <c r="Y15" s="263">
        <f>ROUND($J$15,-3)</f>
        <v>0</v>
      </c>
      <c r="Z15" s="247"/>
      <c r="AA15" s="266"/>
      <c r="AB15" s="299">
        <f>ROUND($P$15,-3)</f>
        <v>0</v>
      </c>
      <c r="AC15" s="266"/>
      <c r="AD15" s="266"/>
      <c r="AE15" s="288" t="str">
        <f>IF(Y15&gt;AB15,Y15-AB15,"")</f>
        <v/>
      </c>
      <c r="AF15" s="248" t="str">
        <f>IF(Y15&lt;AB15,-(Y15-AB15),"")</f>
        <v/>
      </c>
    </row>
    <row r="16" spans="1:32" ht="16.5" customHeight="1" x14ac:dyDescent="0.25">
      <c r="A16" s="210" t="s">
        <v>1679</v>
      </c>
      <c r="B16" s="26" t="s">
        <v>179</v>
      </c>
      <c r="C16" s="26"/>
      <c r="D16" s="26"/>
      <c r="E16" s="178"/>
      <c r="F16" s="179"/>
      <c r="G16" s="179"/>
      <c r="H16" s="180"/>
      <c r="I16" s="180"/>
      <c r="J16" s="229">
        <f>M16</f>
        <v>0</v>
      </c>
      <c r="M16" s="181"/>
      <c r="P16" s="181"/>
      <c r="Q16" s="206"/>
      <c r="S16" s="205">
        <f>P16-M16</f>
        <v>0</v>
      </c>
      <c r="T16" s="232" t="s">
        <v>1743</v>
      </c>
      <c r="V16" s="249"/>
      <c r="W16" s="398" t="str">
        <f>LEFT(B16,13)</f>
        <v>Dr: Acct 0478</v>
      </c>
      <c r="X16" s="398"/>
      <c r="Y16" s="263">
        <f>ROUND($J$16,-3)</f>
        <v>0</v>
      </c>
      <c r="Z16" s="247"/>
      <c r="AA16" s="266"/>
      <c r="AB16" s="299">
        <f>ROUND($P$16,-3)</f>
        <v>0</v>
      </c>
      <c r="AC16" s="266"/>
      <c r="AD16" s="266"/>
      <c r="AE16" s="288" t="str">
        <f>IF(Y16&gt;AB16,Y16-AB16,"")</f>
        <v/>
      </c>
      <c r="AF16" s="248" t="str">
        <f>IF(Y16&lt;AB16,-(Y16-AB16),"")</f>
        <v/>
      </c>
    </row>
    <row r="17" spans="1:34" ht="16.5" customHeight="1" x14ac:dyDescent="0.25">
      <c r="A17" s="210" t="s">
        <v>1679</v>
      </c>
      <c r="B17" s="26" t="s">
        <v>180</v>
      </c>
      <c r="C17" s="26"/>
      <c r="D17" s="26"/>
      <c r="E17" s="178"/>
      <c r="F17" s="179"/>
      <c r="G17" s="179"/>
      <c r="H17" s="180"/>
      <c r="I17" s="180"/>
      <c r="J17" s="229">
        <f>M17</f>
        <v>0</v>
      </c>
      <c r="M17" s="181"/>
      <c r="P17" s="181"/>
      <c r="Q17" s="206"/>
      <c r="S17" s="205">
        <f>P17-M17</f>
        <v>0</v>
      </c>
      <c r="T17" s="232" t="s">
        <v>1743</v>
      </c>
      <c r="V17" s="249"/>
      <c r="W17" s="398" t="str">
        <f>LEFT(B17,13)</f>
        <v>Dr: Acct 0477</v>
      </c>
      <c r="X17" s="398"/>
      <c r="Y17" s="263">
        <f>ROUND($J$17,-3)</f>
        <v>0</v>
      </c>
      <c r="Z17" s="247"/>
      <c r="AA17" s="266"/>
      <c r="AB17" s="299">
        <f>ROUND($P$17,-3)</f>
        <v>0</v>
      </c>
      <c r="AC17" s="266"/>
      <c r="AD17" s="266"/>
      <c r="AE17" s="288" t="str">
        <f>IF(Y17&gt;AB17,Y17-AB17,"")</f>
        <v/>
      </c>
      <c r="AF17" s="248" t="str">
        <f>IF(Y17&lt;AB17,-(Y17-AB17),"")</f>
        <v/>
      </c>
    </row>
    <row r="18" spans="1:34" ht="16.5" customHeight="1" x14ac:dyDescent="0.25">
      <c r="A18" s="88"/>
      <c r="B18" s="26" t="s">
        <v>176</v>
      </c>
      <c r="C18" s="26"/>
      <c r="D18" s="26"/>
      <c r="E18" s="178"/>
      <c r="F18" s="179"/>
      <c r="G18" s="179"/>
      <c r="H18" s="180"/>
      <c r="I18" s="180"/>
      <c r="J18" s="229">
        <f>P18</f>
        <v>0</v>
      </c>
      <c r="M18" s="181"/>
      <c r="P18" s="203">
        <f>IF(SUM($Q$20:$Q$23)&gt;SUM($P$15:$P$17),SUM($Q$20:$Q$23)-SUM($P$15:$P$17),0)</f>
        <v>0</v>
      </c>
      <c r="Q18" s="206"/>
      <c r="S18" s="205">
        <f>P18-M18</f>
        <v>0</v>
      </c>
      <c r="T18" s="231" t="s">
        <v>1718</v>
      </c>
      <c r="V18" s="249"/>
      <c r="W18" s="398" t="str">
        <f>LEFT(B18,13)</f>
        <v>Dr: Acct 0950</v>
      </c>
      <c r="X18" s="398"/>
      <c r="Y18" s="250">
        <f>ROUND($AB$18,-3)</f>
        <v>0</v>
      </c>
      <c r="Z18" s="247"/>
      <c r="AA18" s="289"/>
      <c r="AB18" s="300">
        <f>IF(SUM($AC$20:$AC$23)&gt;SUM($AB$15:$AB$17),SUM($AC$20:$AC$23)-SUM($AB$15:$AB$17),0)</f>
        <v>0</v>
      </c>
      <c r="AC18" s="266"/>
      <c r="AD18" s="266"/>
      <c r="AE18" s="288" t="str">
        <f>IF(Y18&gt;AB18,Y18-AB18,"")</f>
        <v/>
      </c>
      <c r="AF18" s="248" t="str">
        <f>IF(Y18&lt;AB18,-(Y18-AB18),"")</f>
        <v/>
      </c>
    </row>
    <row r="19" spans="1:34" ht="16.5" customHeight="1" x14ac:dyDescent="0.25">
      <c r="A19" s="88"/>
      <c r="B19" s="26" t="s">
        <v>177</v>
      </c>
      <c r="C19" s="26"/>
      <c r="D19" s="26"/>
      <c r="E19" s="178"/>
      <c r="F19" s="179"/>
      <c r="G19" s="179"/>
      <c r="H19" s="180"/>
      <c r="I19" s="180"/>
      <c r="J19" s="229">
        <f>IF(SUM($K$20:$K$24)&gt;SUM($J$15:$J$18),SUM($K$20:$K$24)-SUM($J$15:$J$18),0)</f>
        <v>0</v>
      </c>
      <c r="M19" s="181"/>
      <c r="P19" s="206"/>
      <c r="Q19" s="206"/>
      <c r="S19" s="205">
        <f>P19-M19</f>
        <v>0</v>
      </c>
      <c r="T19" s="231" t="s">
        <v>1718</v>
      </c>
      <c r="V19" s="249"/>
      <c r="W19" s="398" t="str">
        <f>LEFT(B19,13)</f>
        <v>Dr: Acct 0952</v>
      </c>
      <c r="X19" s="398"/>
      <c r="Y19" s="250">
        <f>IF(SUM($Z$20:$Z$24)&gt;SUM($Y$15:$Y$18),SUM($Z$20:$Z$24)-SUM($Y$15:$Y$18),0)</f>
        <v>0</v>
      </c>
      <c r="Z19" s="247"/>
      <c r="AA19" s="266"/>
      <c r="AB19"/>
      <c r="AC19" s="266"/>
      <c r="AD19" s="266"/>
      <c r="AE19" s="288" t="str">
        <f>IF(Y19&gt;AB19,Y19-AB19,"")</f>
        <v/>
      </c>
      <c r="AF19" s="248" t="str">
        <f>IF(Y19&lt;AB19,-(Y19-AB19),"")</f>
        <v/>
      </c>
    </row>
    <row r="20" spans="1:34" ht="16.5" customHeight="1" x14ac:dyDescent="0.25">
      <c r="A20" s="88"/>
      <c r="B20" s="26"/>
      <c r="C20" s="26" t="s">
        <v>185</v>
      </c>
      <c r="D20" s="26"/>
      <c r="E20" s="178"/>
      <c r="F20" s="179"/>
      <c r="G20" s="179"/>
      <c r="H20" s="180"/>
      <c r="I20" s="180"/>
      <c r="J20" s="197"/>
      <c r="K20" s="229">
        <f>N20</f>
        <v>0</v>
      </c>
      <c r="N20" s="181"/>
      <c r="P20" s="206"/>
      <c r="Q20" s="181"/>
      <c r="S20" s="205">
        <f t="shared" ref="S20:S25" si="0">Q20-N20</f>
        <v>0</v>
      </c>
      <c r="T20" s="231" t="s">
        <v>1718</v>
      </c>
      <c r="V20" s="249"/>
      <c r="W20" s="290"/>
      <c r="X20" s="265" t="str">
        <f t="shared" ref="X20:X25" si="1">LEFT(C20,13)</f>
        <v>Cr: Acct 0485</v>
      </c>
      <c r="Y20" s="266"/>
      <c r="Z20" s="263">
        <f>ROUND($K$20,-3)</f>
        <v>0</v>
      </c>
      <c r="AA20" s="266"/>
      <c r="AB20" s="266"/>
      <c r="AC20" s="299">
        <f>ROUND($Q$20,-3)</f>
        <v>0</v>
      </c>
      <c r="AD20" s="266"/>
      <c r="AE20" s="288" t="str">
        <f t="shared" ref="AE20:AE23" si="2">IF(Z20&lt;AC20,-(Z20-AC20),"")</f>
        <v/>
      </c>
      <c r="AF20" s="248" t="str">
        <f t="shared" ref="AF20:AF23" si="3">IF(Z20&gt;AC20,(Z20-AC20),"")</f>
        <v/>
      </c>
      <c r="AH20" s="205"/>
    </row>
    <row r="21" spans="1:34" ht="16.5" customHeight="1" x14ac:dyDescent="0.25">
      <c r="A21" s="88"/>
      <c r="B21" s="26"/>
      <c r="C21" s="26" t="s">
        <v>182</v>
      </c>
      <c r="D21" s="26"/>
      <c r="E21" s="178"/>
      <c r="F21" s="179"/>
      <c r="G21" s="179"/>
      <c r="H21" s="180"/>
      <c r="I21" s="180"/>
      <c r="J21" s="197"/>
      <c r="K21" s="229">
        <f>N21</f>
        <v>0</v>
      </c>
      <c r="N21" s="181"/>
      <c r="P21" s="206"/>
      <c r="Q21" s="181"/>
      <c r="S21" s="205">
        <f t="shared" si="0"/>
        <v>0</v>
      </c>
      <c r="T21" s="231" t="s">
        <v>1718</v>
      </c>
      <c r="V21" s="249"/>
      <c r="W21" s="290"/>
      <c r="X21" s="265" t="str">
        <f t="shared" si="1"/>
        <v>Cr: Acct 0479</v>
      </c>
      <c r="Y21" s="247"/>
      <c r="Z21" s="263">
        <f>ROUND($K$21,-3)</f>
        <v>0</v>
      </c>
      <c r="AA21" s="266"/>
      <c r="AB21" s="266"/>
      <c r="AC21" s="299">
        <f>ROUND($Q$21,-3)</f>
        <v>0</v>
      </c>
      <c r="AD21" s="266"/>
      <c r="AE21" s="288" t="str">
        <f t="shared" si="2"/>
        <v/>
      </c>
      <c r="AF21" s="248" t="str">
        <f t="shared" si="3"/>
        <v/>
      </c>
      <c r="AH21" s="205"/>
    </row>
    <row r="22" spans="1:34" ht="16.5" customHeight="1" x14ac:dyDescent="0.25">
      <c r="A22" s="88"/>
      <c r="B22" s="26"/>
      <c r="C22" s="26" t="s">
        <v>186</v>
      </c>
      <c r="D22" s="26"/>
      <c r="E22" s="178"/>
      <c r="F22" s="179"/>
      <c r="G22" s="179"/>
      <c r="H22" s="180"/>
      <c r="I22" s="180"/>
      <c r="J22" s="197"/>
      <c r="K22" s="229">
        <f>N22</f>
        <v>0</v>
      </c>
      <c r="N22" s="181"/>
      <c r="P22" s="206"/>
      <c r="Q22" s="181"/>
      <c r="S22" s="205">
        <f t="shared" si="0"/>
        <v>0</v>
      </c>
      <c r="T22" s="231" t="s">
        <v>1718</v>
      </c>
      <c r="V22" s="249"/>
      <c r="W22" s="290"/>
      <c r="X22" s="265" t="str">
        <f t="shared" si="1"/>
        <v>Cr: Acct 0486</v>
      </c>
      <c r="Z22" s="263">
        <f>ROUND($K$22,-3)</f>
        <v>0</v>
      </c>
      <c r="AC22" s="299">
        <f>ROUND($Q$22,-3)</f>
        <v>0</v>
      </c>
      <c r="AE22" s="288" t="str">
        <f t="shared" si="2"/>
        <v/>
      </c>
      <c r="AF22" s="248" t="str">
        <f t="shared" si="3"/>
        <v/>
      </c>
    </row>
    <row r="23" spans="1:34" ht="16.5" customHeight="1" x14ac:dyDescent="0.25">
      <c r="A23" s="216" t="s">
        <v>1687</v>
      </c>
      <c r="B23" s="26"/>
      <c r="C23" s="26" t="s">
        <v>181</v>
      </c>
      <c r="D23" s="26"/>
      <c r="E23" s="178"/>
      <c r="F23" s="179"/>
      <c r="G23" s="179"/>
      <c r="H23" s="180"/>
      <c r="I23" s="180"/>
      <c r="J23" s="197"/>
      <c r="K23" s="229">
        <f>N23</f>
        <v>0</v>
      </c>
      <c r="N23" s="181"/>
      <c r="P23" s="206"/>
      <c r="Q23" s="181"/>
      <c r="S23" s="205">
        <f t="shared" si="0"/>
        <v>0</v>
      </c>
      <c r="T23" s="231" t="s">
        <v>1718</v>
      </c>
      <c r="V23" s="249"/>
      <c r="W23" s="290"/>
      <c r="X23" s="265" t="str">
        <f t="shared" si="1"/>
        <v>Cr: Acct 0691</v>
      </c>
      <c r="Y23" s="252"/>
      <c r="Z23" s="263">
        <f>ROUND($K$23,-3)</f>
        <v>0</v>
      </c>
      <c r="AA23" s="266"/>
      <c r="AB23" s="266"/>
      <c r="AC23" s="299">
        <f>ROUND($Q$23,-3)</f>
        <v>0</v>
      </c>
      <c r="AD23" s="266"/>
      <c r="AE23" s="288" t="str">
        <f t="shared" si="2"/>
        <v/>
      </c>
      <c r="AF23" s="248" t="str">
        <f t="shared" si="3"/>
        <v/>
      </c>
    </row>
    <row r="24" spans="1:34" ht="16.5" customHeight="1" x14ac:dyDescent="0.25">
      <c r="A24" s="88"/>
      <c r="B24" s="26"/>
      <c r="C24" s="26" t="s">
        <v>183</v>
      </c>
      <c r="D24" s="26"/>
      <c r="E24" s="178"/>
      <c r="F24" s="179"/>
      <c r="G24" s="179"/>
      <c r="H24" s="180"/>
      <c r="I24" s="180"/>
      <c r="J24" s="197"/>
      <c r="K24" s="229">
        <f>Q24</f>
        <v>0</v>
      </c>
      <c r="N24" s="181"/>
      <c r="P24" s="206"/>
      <c r="Q24" s="203">
        <f>IF(SUM($Q$20:$Q$23)&lt;SUM($P$15:$P$17),-SUM($Q$20:$Q$23)+SUM($P$15:$P$17),0)</f>
        <v>0</v>
      </c>
      <c r="S24" s="205">
        <f t="shared" si="0"/>
        <v>0</v>
      </c>
      <c r="T24" s="231" t="s">
        <v>1718</v>
      </c>
      <c r="V24" s="255"/>
      <c r="W24" s="264"/>
      <c r="X24" s="265" t="str">
        <f t="shared" si="1"/>
        <v>Cr: Acct 0950</v>
      </c>
      <c r="Y24" s="291"/>
      <c r="Z24" s="250">
        <f>ROUND($AC$24,-3)</f>
        <v>0</v>
      </c>
      <c r="AA24" s="266"/>
      <c r="AB24" s="266"/>
      <c r="AC24" s="300">
        <f>IF(SUM($AC$20:$AC$23)&lt;SUM($AB$15:$AB$17),-SUM($AC$20:$AC$23)+SUM($AB$15:$AB$17),0)</f>
        <v>0</v>
      </c>
      <c r="AD24" s="266"/>
      <c r="AE24" s="288" t="str">
        <f>IF(Z24&lt;AC24,-(Z24-AC24),"")</f>
        <v/>
      </c>
      <c r="AF24" s="248" t="str">
        <f>IF(Z24&gt;AC24,(Z24-AC24),"")</f>
        <v/>
      </c>
    </row>
    <row r="25" spans="1:34" ht="16.5" customHeight="1" x14ac:dyDescent="0.25">
      <c r="A25" s="88"/>
      <c r="B25" s="26"/>
      <c r="C25" s="26" t="s">
        <v>184</v>
      </c>
      <c r="D25" s="26"/>
      <c r="E25" s="178"/>
      <c r="F25" s="179"/>
      <c r="G25" s="179"/>
      <c r="H25" s="180"/>
      <c r="I25" s="180"/>
      <c r="J25" s="197"/>
      <c r="K25" s="229">
        <f>IF(SUM($K$20:$K$24)&lt;SUM($J$15:$J$18),-SUM($K$20:$K$24)+SUM($J$15:$J$18),0)</f>
        <v>0</v>
      </c>
      <c r="N25" s="181"/>
      <c r="P25" s="206"/>
      <c r="Q25" s="206"/>
      <c r="S25" s="205">
        <f t="shared" si="0"/>
        <v>0</v>
      </c>
      <c r="T25" s="231" t="s">
        <v>1718</v>
      </c>
      <c r="V25" s="255"/>
      <c r="W25" s="264"/>
      <c r="X25" s="265" t="str">
        <f t="shared" si="1"/>
        <v>Cr: Acct 0952</v>
      </c>
      <c r="Z25" s="250">
        <f>IF(SUM($Z$20:$Z$24)&lt;SUM($Y$15:$Y$18),-SUM($Z$20:$Z$24)+SUM($Y$15:$Y$18),0)</f>
        <v>0</v>
      </c>
      <c r="AC25"/>
      <c r="AE25" s="288" t="str">
        <f>IF(Z25&lt;AC25,-(Z25-AC25),"")</f>
        <v/>
      </c>
      <c r="AF25" s="248" t="str">
        <f>IF(Z25&gt;AC25,(Z25-AC25),"")</f>
        <v/>
      </c>
    </row>
    <row r="26" spans="1:34" ht="16.5" customHeight="1" x14ac:dyDescent="0.25">
      <c r="A26" s="88"/>
      <c r="C26" s="47"/>
      <c r="D26" s="47"/>
      <c r="E26" s="47"/>
      <c r="F26" s="164"/>
      <c r="G26" s="164"/>
      <c r="H26" s="49"/>
      <c r="I26" s="49"/>
      <c r="J26" s="142">
        <f>SUM(J15:J25)</f>
        <v>0</v>
      </c>
      <c r="K26" s="142">
        <f>SUM(K15:K25)</f>
        <v>0</v>
      </c>
      <c r="L26" s="52" t="str">
        <f>IF(J26=K26,"&lt;- Debits and Credits equal each other.","&lt;- Debits and Credits do not equal each other.")</f>
        <v>&lt;- Debits and Credits equal each other.</v>
      </c>
      <c r="V26" s="255"/>
      <c r="W26" s="264"/>
      <c r="X26" s="264"/>
      <c r="Y26" s="317">
        <f>ROUND(SUM(Y15:Y19),0)</f>
        <v>0</v>
      </c>
      <c r="Z26" s="317">
        <f>ROUND(SUM(Z18:Z25),0)</f>
        <v>0</v>
      </c>
      <c r="AA26" s="394" t="str">
        <f>IF(Y26=Z26,"&lt;- Debits and Credits equal each other.","&lt;- Debits and Credits do not equal each other.")</f>
        <v>&lt;- Debits and Credits equal each other.</v>
      </c>
      <c r="AB26" s="394"/>
      <c r="AC26" s="394"/>
      <c r="AD26" s="266"/>
      <c r="AE26" s="317">
        <f>ROUND(SUM(AE15:AE25),0)</f>
        <v>0</v>
      </c>
      <c r="AF26" s="318">
        <f>ROUND(SUM(AF15:AF25),0)</f>
        <v>0</v>
      </c>
    </row>
    <row r="27" spans="1:34" ht="16.5" customHeight="1" x14ac:dyDescent="0.25">
      <c r="A27" s="1"/>
      <c r="B27" s="167" t="s">
        <v>1680</v>
      </c>
      <c r="C27" s="50"/>
      <c r="D27" s="47"/>
      <c r="E27" s="47"/>
      <c r="F27" s="48"/>
      <c r="G27" s="48"/>
      <c r="H27" s="49"/>
      <c r="I27" s="49"/>
      <c r="J27" s="46"/>
      <c r="K27" s="46"/>
      <c r="L27" s="21"/>
      <c r="V27" s="255"/>
      <c r="AF27" s="248">
        <f>AE26-AF26</f>
        <v>0</v>
      </c>
    </row>
    <row r="28" spans="1:34" ht="16.149999999999999" customHeight="1" x14ac:dyDescent="0.3">
      <c r="A28" s="1"/>
      <c r="B28" s="217" t="s">
        <v>1691</v>
      </c>
      <c r="C28" s="166"/>
      <c r="D28" s="47"/>
      <c r="E28" s="47"/>
      <c r="F28" s="164"/>
      <c r="G28" s="164"/>
      <c r="H28" s="49"/>
      <c r="I28" s="49"/>
      <c r="J28" s="46"/>
      <c r="K28" s="46"/>
      <c r="L28" s="21"/>
      <c r="V28" s="255"/>
      <c r="AF28" s="261"/>
    </row>
    <row r="29" spans="1:34" ht="16.149999999999999" customHeight="1" x14ac:dyDescent="0.3">
      <c r="A29" s="1"/>
      <c r="B29" s="217"/>
      <c r="C29" s="166"/>
      <c r="D29" s="47"/>
      <c r="E29" s="47"/>
      <c r="F29" s="164"/>
      <c r="G29" s="164"/>
      <c r="H29" s="49"/>
      <c r="I29" s="49"/>
      <c r="J29" s="46"/>
      <c r="K29" s="46"/>
      <c r="L29" s="21"/>
      <c r="V29" s="255"/>
      <c r="AF29" s="261"/>
    </row>
    <row r="30" spans="1:34" ht="16.5" customHeight="1" x14ac:dyDescent="0.25">
      <c r="A30" s="88"/>
      <c r="C30" s="47"/>
      <c r="D30" s="47"/>
      <c r="E30" s="47"/>
      <c r="F30" s="164"/>
      <c r="G30" s="164"/>
      <c r="H30" s="49"/>
      <c r="I30" s="49"/>
      <c r="J30" s="142"/>
      <c r="K30" s="142"/>
      <c r="L30" s="21"/>
      <c r="V30" s="255"/>
      <c r="AF30" s="261"/>
    </row>
    <row r="31" spans="1:34" s="163" customFormat="1" ht="21" customHeight="1" x14ac:dyDescent="0.3">
      <c r="A31" s="157" t="s">
        <v>173</v>
      </c>
      <c r="B31" s="158"/>
      <c r="C31" s="159"/>
      <c r="D31" s="159"/>
      <c r="E31" s="159"/>
      <c r="F31" s="160"/>
      <c r="G31" s="160"/>
      <c r="H31" s="161"/>
      <c r="I31" s="161"/>
      <c r="J31" s="160"/>
      <c r="K31" s="160"/>
      <c r="L31" s="39"/>
      <c r="M31" s="39"/>
      <c r="N31" s="162"/>
      <c r="O31" s="162"/>
      <c r="P31" s="162"/>
      <c r="V31" s="395" t="str">
        <f>A31</f>
        <v>Record New Leases (new leases only)</v>
      </c>
      <c r="W31" s="396"/>
      <c r="X31" s="396"/>
      <c r="Y31" s="396"/>
      <c r="Z31" s="396"/>
      <c r="AA31" s="396"/>
      <c r="AB31" s="396"/>
      <c r="AC31" s="396"/>
      <c r="AD31" s="396"/>
      <c r="AE31" s="396"/>
      <c r="AF31" s="397"/>
    </row>
    <row r="32" spans="1:34" s="173" customFormat="1" ht="16.5" customHeight="1" x14ac:dyDescent="0.3">
      <c r="A32" s="170">
        <v>1</v>
      </c>
      <c r="B32" s="199" t="s">
        <v>1733</v>
      </c>
      <c r="D32" s="176"/>
      <c r="E32" s="176"/>
      <c r="F32" s="177"/>
      <c r="G32" s="177"/>
      <c r="H32" s="167"/>
      <c r="I32" s="167"/>
      <c r="J32" s="172"/>
      <c r="K32" s="172"/>
      <c r="V32" s="245">
        <f>A32</f>
        <v>1</v>
      </c>
      <c r="W32" s="273" t="str">
        <f>B32</f>
        <v>Record lease contract commencement (fund-based entries only)</v>
      </c>
      <c r="X32" s="274"/>
      <c r="Y32" s="274"/>
      <c r="Z32" s="274"/>
      <c r="AA32" s="274"/>
      <c r="AB32" s="274"/>
      <c r="AC32" s="274"/>
      <c r="AD32" s="274"/>
      <c r="AE32" s="274"/>
      <c r="AF32" s="275"/>
    </row>
    <row r="33" spans="1:32" ht="16.5" customHeight="1" x14ac:dyDescent="0.25">
      <c r="B33" s="26" t="s">
        <v>194</v>
      </c>
      <c r="C33" s="26"/>
      <c r="D33" s="178"/>
      <c r="E33" s="178"/>
      <c r="F33" s="179"/>
      <c r="G33" s="179"/>
      <c r="H33" s="180"/>
      <c r="I33" s="180"/>
      <c r="J33" s="181"/>
      <c r="K33" s="182"/>
      <c r="Q33" s="173"/>
      <c r="V33" s="249"/>
      <c r="W33" s="398" t="str">
        <f>LEFT(B33,13)</f>
        <v>Dr: Acct 0842</v>
      </c>
      <c r="X33" s="398"/>
      <c r="Y33" s="263">
        <f>IF(ROUND($K$42,-3)=ROUND($J$39,-3)+ROUND($J$40,-3)+ROUND($J$41,-3),ROUND($J$33,-3),SUM(ROUND($J$39,-3),ROUND($J$40,-3),ROUND($J$41,-3)))</f>
        <v>0</v>
      </c>
      <c r="Z33" s="247"/>
      <c r="AA33" s="411" t="s">
        <v>231</v>
      </c>
      <c r="AB33" s="411"/>
      <c r="AC33" s="411"/>
      <c r="AD33" s="266"/>
      <c r="AE33" s="266"/>
      <c r="AF33" s="254"/>
    </row>
    <row r="34" spans="1:32" ht="16.5" customHeight="1" x14ac:dyDescent="0.25">
      <c r="A34" s="88"/>
      <c r="B34" s="26"/>
      <c r="C34" s="26" t="s">
        <v>1731</v>
      </c>
      <c r="D34" s="178"/>
      <c r="E34" s="178"/>
      <c r="F34" s="179"/>
      <c r="G34" s="179"/>
      <c r="H34" s="180"/>
      <c r="I34" s="180"/>
      <c r="J34" s="182"/>
      <c r="K34" s="181"/>
      <c r="Q34" s="173"/>
      <c r="V34" s="249"/>
      <c r="W34" s="265"/>
      <c r="X34" s="265" t="str">
        <f>LEFT(C34,13)</f>
        <v>Cr: Acct 0789</v>
      </c>
      <c r="Y34" s="266"/>
      <c r="Z34" s="263">
        <f>ROUND($K$34,-3)</f>
        <v>0</v>
      </c>
      <c r="AA34" s="411" t="s">
        <v>231</v>
      </c>
      <c r="AB34" s="411"/>
      <c r="AC34" s="411"/>
      <c r="AD34" s="266"/>
      <c r="AE34" s="266"/>
      <c r="AF34" s="254"/>
    </row>
    <row r="35" spans="1:32" ht="16.5" customHeight="1" x14ac:dyDescent="0.25">
      <c r="A35" s="88"/>
      <c r="B35" s="26"/>
      <c r="C35" s="26" t="str">
        <f>IF($F$7="Proprietary","Cr: Acct 0870 - SERVICES &amp; CHARGES (MG ADJ)",VLOOKUP($F$9,'Drop Down Menus'!$F$2:$G$10,2,FALSE))</f>
        <v>Cr: Acct 0XXX - FUNCTIONAL EXPENSE</v>
      </c>
      <c r="D35" s="178"/>
      <c r="E35" s="178"/>
      <c r="F35" s="179"/>
      <c r="G35" s="179"/>
      <c r="H35" s="180"/>
      <c r="I35" s="180"/>
      <c r="J35" s="182"/>
      <c r="K35" s="181"/>
      <c r="Q35" s="173"/>
      <c r="V35" s="249"/>
      <c r="W35" s="265"/>
      <c r="X35" s="265" t="str">
        <f>LEFT(C35,13)</f>
        <v>Cr: Acct 0XXX</v>
      </c>
      <c r="Y35" s="247"/>
      <c r="Z35" s="263">
        <f>IF(ROUND(K35,-3)+ROUND(K34,-3)=ROUND(J33,-3),IF(Y33=Z34,ROUND(K35,-3),Y33-Z34))</f>
        <v>0</v>
      </c>
      <c r="AA35" s="266"/>
      <c r="AB35" s="266"/>
      <c r="AC35" s="266"/>
      <c r="AD35" s="266"/>
      <c r="AE35" s="266"/>
      <c r="AF35" s="254"/>
    </row>
    <row r="36" spans="1:32" ht="16.5" customHeight="1" x14ac:dyDescent="0.25">
      <c r="A36" s="88"/>
      <c r="C36" s="43"/>
      <c r="D36" s="43"/>
      <c r="E36" s="43"/>
      <c r="F36" s="44"/>
      <c r="G36" s="44"/>
      <c r="H36" s="45"/>
      <c r="I36" s="45"/>
      <c r="J36" s="142">
        <f>SUM(J33:J35)</f>
        <v>0</v>
      </c>
      <c r="K36" s="142">
        <f>SUM(K33:K35)</f>
        <v>0</v>
      </c>
      <c r="L36" s="52" t="str">
        <f>IF(J36=K36,"&lt;- Debits and Credits equal each other.","&lt;- Debits and Credits do not equal each other.")</f>
        <v>&lt;- Debits and Credits equal each other.</v>
      </c>
      <c r="Q36" s="173"/>
      <c r="V36" s="259"/>
      <c r="W36" s="290"/>
      <c r="X36" s="265" t="str">
        <f>LEFT(C32,13)</f>
        <v/>
      </c>
      <c r="Y36" s="317">
        <f>ROUND(SUM(Y33),2)</f>
        <v>0</v>
      </c>
      <c r="Z36" s="317">
        <f>ROUND(SUM(Z34:Z35),2)</f>
        <v>0</v>
      </c>
      <c r="AA36" s="394" t="str">
        <f>IF(Y36=Z36,"&lt;- Debits and Credits equal each other.","&lt;- Debits and Credits do not equal each other.")</f>
        <v>&lt;- Debits and Credits equal each other.</v>
      </c>
      <c r="AB36" s="394"/>
      <c r="AC36" s="394"/>
      <c r="AD36" s="394"/>
      <c r="AE36" s="394"/>
      <c r="AF36" s="262"/>
    </row>
    <row r="37" spans="1:32" ht="16.5" customHeight="1" x14ac:dyDescent="0.25">
      <c r="A37" s="1"/>
      <c r="B37" s="42"/>
      <c r="C37" s="43"/>
      <c r="D37" s="43"/>
      <c r="E37" s="43"/>
      <c r="F37" s="44"/>
      <c r="G37" s="44"/>
      <c r="H37" s="45"/>
      <c r="I37" s="45"/>
      <c r="J37" s="46"/>
      <c r="K37" s="46"/>
      <c r="L37" s="21"/>
      <c r="Q37" s="173"/>
      <c r="V37" s="255"/>
      <c r="W37" s="290"/>
      <c r="X37" s="265"/>
      <c r="Y37" s="253"/>
      <c r="Z37" s="253"/>
      <c r="AA37" s="266"/>
      <c r="AB37" s="266"/>
      <c r="AC37" s="266"/>
      <c r="AD37" s="266"/>
      <c r="AE37" s="266"/>
      <c r="AF37" s="254"/>
    </row>
    <row r="38" spans="1:32" ht="16.5" customHeight="1" x14ac:dyDescent="0.3">
      <c r="A38" s="136">
        <v>2</v>
      </c>
      <c r="B38" s="199" t="s">
        <v>196</v>
      </c>
      <c r="C38" s="43"/>
      <c r="D38" s="43"/>
      <c r="E38" s="43"/>
      <c r="F38" s="44"/>
      <c r="G38" s="44"/>
      <c r="H38" s="45"/>
      <c r="I38" s="45"/>
      <c r="J38" s="46"/>
      <c r="K38" s="46"/>
      <c r="L38" s="21"/>
      <c r="Q38" s="173"/>
      <c r="V38" s="245">
        <f>A38</f>
        <v>2</v>
      </c>
      <c r="W38" s="270" t="str">
        <f>B38</f>
        <v xml:space="preserve">Record leased assets. </v>
      </c>
      <c r="X38" s="272"/>
      <c r="Y38" s="272"/>
      <c r="Z38" s="272"/>
      <c r="AA38" s="272"/>
      <c r="AB38" s="272"/>
      <c r="AC38" s="272"/>
      <c r="AD38" s="272"/>
      <c r="AE38" s="272"/>
      <c r="AF38" s="271"/>
    </row>
    <row r="39" spans="1:32" ht="16.5" customHeight="1" x14ac:dyDescent="0.3">
      <c r="A39" s="210" t="s">
        <v>1679</v>
      </c>
      <c r="B39" s="26" t="s">
        <v>178</v>
      </c>
      <c r="C39" s="26"/>
      <c r="D39" s="178"/>
      <c r="E39" s="178"/>
      <c r="F39" s="179"/>
      <c r="G39" s="179"/>
      <c r="H39" s="180"/>
      <c r="I39" s="180"/>
      <c r="J39" s="181"/>
      <c r="K39" s="182"/>
      <c r="Q39" s="173"/>
      <c r="V39" s="259"/>
      <c r="W39" s="398" t="str">
        <f>LEFT(B39,13)</f>
        <v>Dr: Acct 0476</v>
      </c>
      <c r="X39" s="398"/>
      <c r="Y39" s="263">
        <f>ROUND($J$39,-3)</f>
        <v>0</v>
      </c>
      <c r="Z39" s="292"/>
      <c r="AA39" s="266"/>
      <c r="AB39" s="266"/>
      <c r="AC39" s="266"/>
      <c r="AD39" s="266"/>
      <c r="AE39" s="266"/>
      <c r="AF39" s="254"/>
    </row>
    <row r="40" spans="1:32" ht="16.5" customHeight="1" x14ac:dyDescent="0.25">
      <c r="A40" s="210" t="s">
        <v>1679</v>
      </c>
      <c r="B40" s="26" t="s">
        <v>179</v>
      </c>
      <c r="C40" s="26"/>
      <c r="D40" s="178"/>
      <c r="E40" s="178"/>
      <c r="F40" s="179"/>
      <c r="G40" s="179"/>
      <c r="H40" s="180"/>
      <c r="I40" s="180"/>
      <c r="J40" s="181"/>
      <c r="K40" s="182"/>
      <c r="Q40" s="173"/>
      <c r="V40" s="246"/>
      <c r="W40" s="398" t="str">
        <f>LEFT(B40,13)</f>
        <v>Dr: Acct 0478</v>
      </c>
      <c r="X40" s="398"/>
      <c r="Y40" s="263">
        <f>ROUND($J$40,-3)</f>
        <v>0</v>
      </c>
      <c r="Z40" s="260"/>
      <c r="AA40" s="269" t="s">
        <v>231</v>
      </c>
      <c r="AB40" s="269"/>
      <c r="AC40" s="269"/>
      <c r="AD40" s="266"/>
      <c r="AE40" s="266"/>
      <c r="AF40" s="254"/>
    </row>
    <row r="41" spans="1:32" ht="16.5" customHeight="1" x14ac:dyDescent="0.25">
      <c r="A41" s="210" t="s">
        <v>1679</v>
      </c>
      <c r="B41" s="26" t="s">
        <v>180</v>
      </c>
      <c r="C41" s="26"/>
      <c r="D41" s="178"/>
      <c r="E41" s="178"/>
      <c r="F41" s="179"/>
      <c r="G41" s="179"/>
      <c r="H41" s="180"/>
      <c r="I41" s="180"/>
      <c r="J41" s="181"/>
      <c r="K41" s="182"/>
      <c r="Q41" s="173"/>
      <c r="V41" s="249"/>
      <c r="W41" s="398" t="str">
        <f>LEFT(B41,13)</f>
        <v>Dr: Acct 0477</v>
      </c>
      <c r="X41" s="398"/>
      <c r="Y41" s="263">
        <f>ROUND($J$41,-3)</f>
        <v>0</v>
      </c>
      <c r="Z41" s="260"/>
      <c r="AA41" s="269" t="s">
        <v>231</v>
      </c>
      <c r="AB41" s="269"/>
      <c r="AC41" s="269"/>
      <c r="AD41" s="266"/>
      <c r="AE41" s="266"/>
      <c r="AF41" s="254"/>
    </row>
    <row r="42" spans="1:32" ht="16.5" customHeight="1" x14ac:dyDescent="0.25">
      <c r="A42" s="88"/>
      <c r="B42" s="26"/>
      <c r="C42" s="26" t="s">
        <v>195</v>
      </c>
      <c r="D42" s="178"/>
      <c r="E42" s="178"/>
      <c r="F42" s="179"/>
      <c r="G42" s="179"/>
      <c r="H42" s="180"/>
      <c r="I42" s="180"/>
      <c r="J42" s="182"/>
      <c r="K42" s="181"/>
      <c r="Q42" s="173"/>
      <c r="V42" s="249"/>
      <c r="W42" s="290"/>
      <c r="X42" s="265" t="str">
        <f>LEFT(C42,13)</f>
        <v>Cr: Acct 0842</v>
      </c>
      <c r="Y42" s="260"/>
      <c r="Z42" s="263">
        <f>IF(ROUND($K$42,-3)=ROUND($J$39,-3)+ROUND($J$40,-3)+ROUND($J$41,-3),ROUND($K$42,-3),SUM(ROUND($J$39,-3),ROUND($J$40,-3),ROUND($J$41,-3)))</f>
        <v>0</v>
      </c>
      <c r="AA42" s="266"/>
      <c r="AB42" s="266"/>
      <c r="AC42" s="266"/>
      <c r="AD42" s="266"/>
      <c r="AE42" s="266"/>
      <c r="AF42" s="254"/>
    </row>
    <row r="43" spans="1:32" ht="16.5" customHeight="1" x14ac:dyDescent="0.25">
      <c r="A43" s="88"/>
      <c r="B43" s="167" t="s">
        <v>1681</v>
      </c>
      <c r="C43" s="43"/>
      <c r="D43" s="43"/>
      <c r="E43" s="43"/>
      <c r="F43" s="44"/>
      <c r="G43" s="44"/>
      <c r="H43" s="45"/>
      <c r="I43" s="45"/>
      <c r="J43" s="142">
        <f>SUM(J39:J42)</f>
        <v>0</v>
      </c>
      <c r="K43" s="142">
        <f>SUM(K39:K42)</f>
        <v>0</v>
      </c>
      <c r="L43" s="52" t="str">
        <f>IF(J43=K43,"&lt;- Debits and Credits equal each other.","&lt;- Debits and Credits do not equal each other.")</f>
        <v>&lt;- Debits and Credits equal each other.</v>
      </c>
      <c r="Q43" s="173"/>
      <c r="V43" s="249"/>
      <c r="W43" s="290"/>
      <c r="X43" s="265" t="str">
        <f>LEFT(C39,13)</f>
        <v/>
      </c>
      <c r="Y43" s="317">
        <f>ROUND(SUM(Y39:Y41),2)</f>
        <v>0</v>
      </c>
      <c r="Z43" s="317">
        <f>ROUND(SUM(Z42),2)</f>
        <v>0</v>
      </c>
      <c r="AA43" s="394" t="str">
        <f>IF(Y43=Z43,"&lt;- Debits and Credits equal each other.","&lt;- Debits and Credits do not equal each other.")</f>
        <v>&lt;- Debits and Credits equal each other.</v>
      </c>
      <c r="AB43" s="394"/>
      <c r="AC43" s="394"/>
      <c r="AD43" s="394"/>
      <c r="AE43" s="394"/>
      <c r="AF43" s="254"/>
    </row>
    <row r="44" spans="1:32" ht="16.5" customHeight="1" x14ac:dyDescent="0.25">
      <c r="A44" s="1"/>
      <c r="C44" s="50"/>
      <c r="D44" s="47"/>
      <c r="E44" s="47"/>
      <c r="F44" s="48"/>
      <c r="G44" s="48"/>
      <c r="H44" s="49"/>
      <c r="I44" s="49"/>
      <c r="J44" s="46"/>
      <c r="K44" s="46"/>
      <c r="L44" s="21"/>
      <c r="Q44" s="173"/>
      <c r="V44" s="249"/>
      <c r="W44" s="290"/>
      <c r="X44" s="290"/>
      <c r="AC44" s="276"/>
      <c r="AD44" s="276"/>
      <c r="AE44" s="276"/>
      <c r="AF44" s="262"/>
    </row>
    <row r="45" spans="1:32" ht="16.5" customHeight="1" x14ac:dyDescent="0.25">
      <c r="A45" s="1"/>
      <c r="B45" s="167"/>
      <c r="C45" s="50"/>
      <c r="D45" s="47"/>
      <c r="E45" s="47"/>
      <c r="F45" s="48"/>
      <c r="G45" s="48"/>
      <c r="H45" s="49"/>
      <c r="I45" s="49"/>
      <c r="J45" s="46"/>
      <c r="K45" s="46"/>
      <c r="L45" s="21"/>
      <c r="Q45" s="173"/>
      <c r="V45" s="249"/>
      <c r="W45" s="290"/>
      <c r="X45" s="290"/>
      <c r="Y45" s="252"/>
      <c r="Z45" s="293"/>
      <c r="AA45" s="266"/>
      <c r="AB45" s="266"/>
      <c r="AC45" s="266"/>
      <c r="AD45" s="266"/>
      <c r="AE45" s="266"/>
      <c r="AF45" s="254"/>
    </row>
    <row r="46" spans="1:32" s="173" customFormat="1" ht="16.5" customHeight="1" x14ac:dyDescent="0.3">
      <c r="A46" s="170">
        <v>3</v>
      </c>
      <c r="B46" s="199" t="s">
        <v>135</v>
      </c>
      <c r="C46" s="176"/>
      <c r="D46" s="176"/>
      <c r="E46" s="176"/>
      <c r="F46" s="177"/>
      <c r="G46" s="177"/>
      <c r="H46" s="167"/>
      <c r="I46" s="167"/>
      <c r="J46" s="172"/>
      <c r="K46" s="172"/>
      <c r="V46" s="245">
        <f>A46</f>
        <v>3</v>
      </c>
      <c r="W46" s="270" t="str">
        <f>B46</f>
        <v xml:space="preserve">Replace proceeds from leases with right-to-use lease liability. </v>
      </c>
      <c r="X46" s="294"/>
      <c r="Y46" s="291"/>
      <c r="Z46" s="291"/>
      <c r="AA46" s="266"/>
      <c r="AB46" s="266"/>
      <c r="AC46" s="266"/>
      <c r="AD46" s="266"/>
      <c r="AE46" s="266"/>
      <c r="AF46" s="254"/>
    </row>
    <row r="47" spans="1:32" ht="16.5" customHeight="1" x14ac:dyDescent="0.25">
      <c r="B47" s="26" t="s">
        <v>1732</v>
      </c>
      <c r="C47" s="26"/>
      <c r="D47" s="178"/>
      <c r="E47" s="178"/>
      <c r="F47" s="179"/>
      <c r="G47" s="179"/>
      <c r="H47" s="180"/>
      <c r="I47" s="180"/>
      <c r="J47" s="181"/>
      <c r="K47" s="182"/>
      <c r="V47" s="259"/>
      <c r="W47" s="268" t="str">
        <f>LEFT(B47,13)</f>
        <v>Dr: Acct 0789</v>
      </c>
      <c r="X47" s="268"/>
      <c r="Y47" s="263">
        <f>Z34</f>
        <v>0</v>
      </c>
      <c r="AA47" s="266"/>
      <c r="AB47" s="266"/>
      <c r="AC47" s="266"/>
      <c r="AD47" s="266"/>
      <c r="AE47" s="266"/>
      <c r="AF47" s="254"/>
    </row>
    <row r="48" spans="1:32" ht="16.5" customHeight="1" x14ac:dyDescent="0.25">
      <c r="A48" s="216" t="s">
        <v>1687</v>
      </c>
      <c r="B48" s="26"/>
      <c r="C48" s="26" t="s">
        <v>181</v>
      </c>
      <c r="D48" s="178"/>
      <c r="E48" s="178"/>
      <c r="F48" s="179"/>
      <c r="G48" s="179"/>
      <c r="H48" s="180"/>
      <c r="I48" s="180"/>
      <c r="J48" s="182"/>
      <c r="K48" s="181"/>
      <c r="V48" s="90"/>
      <c r="W48" s="267"/>
      <c r="X48" s="265" t="str">
        <f>LEFT(C48,13)</f>
        <v>Cr: Acct 0691</v>
      </c>
      <c r="Y48" s="322"/>
      <c r="Z48" s="323">
        <f>Y47</f>
        <v>0</v>
      </c>
      <c r="AA48" s="267"/>
      <c r="AB48" s="267"/>
      <c r="AC48" s="267"/>
      <c r="AD48" s="267"/>
      <c r="AE48" s="267"/>
      <c r="AF48" s="257"/>
    </row>
    <row r="49" spans="1:33" ht="16.5" customHeight="1" x14ac:dyDescent="0.25">
      <c r="A49" s="88"/>
      <c r="C49" s="43"/>
      <c r="D49" s="43"/>
      <c r="E49" s="43"/>
      <c r="F49" s="44"/>
      <c r="G49" s="44"/>
      <c r="H49" s="45"/>
      <c r="I49" s="45"/>
      <c r="J49" s="142">
        <f>SUM(J47:J48)</f>
        <v>0</v>
      </c>
      <c r="K49" s="142">
        <f>SUM(K47:K48)</f>
        <v>0</v>
      </c>
      <c r="L49" s="52" t="str">
        <f>IF(J49=K49,"&lt;- Debits and Credits equal each other.","&lt;- Debits and Credits do not equal each other.")</f>
        <v>&lt;- Debits and Credits equal each other.</v>
      </c>
      <c r="V49" s="90"/>
      <c r="Y49" s="317">
        <f>ROUND(SUM(Y47),2)</f>
        <v>0</v>
      </c>
      <c r="Z49" s="317">
        <f>ROUND(SUM(Z48),2)</f>
        <v>0</v>
      </c>
      <c r="AA49" s="394" t="str">
        <f>IF(Y49=Z49,"&lt;- Debits and Credits equal each other.","&lt;- Debits and Credits do not equal each other.")</f>
        <v>&lt;- Debits and Credits equal each other.</v>
      </c>
      <c r="AB49" s="394"/>
      <c r="AC49" s="394"/>
      <c r="AD49" s="394"/>
      <c r="AE49" s="394"/>
      <c r="AF49" s="258"/>
    </row>
    <row r="50" spans="1:33" ht="16.5" customHeight="1" x14ac:dyDescent="0.25">
      <c r="A50" s="88"/>
      <c r="B50" s="217" t="s">
        <v>1690</v>
      </c>
      <c r="C50" s="43"/>
      <c r="D50" s="43"/>
      <c r="E50" s="43"/>
      <c r="F50" s="44"/>
      <c r="G50" s="44"/>
      <c r="H50" s="45"/>
      <c r="I50" s="45"/>
      <c r="J50" s="142"/>
      <c r="K50" s="142"/>
      <c r="L50" s="21"/>
      <c r="V50" s="90"/>
      <c r="AC50" s="266"/>
      <c r="AD50" s="266"/>
      <c r="AE50" s="266"/>
      <c r="AF50" s="254"/>
    </row>
    <row r="51" spans="1:33" ht="16.5" customHeight="1" x14ac:dyDescent="0.25">
      <c r="A51" s="88"/>
      <c r="B51" s="217"/>
      <c r="C51" s="43"/>
      <c r="D51" s="43"/>
      <c r="E51" s="43"/>
      <c r="F51" s="44"/>
      <c r="G51" s="44"/>
      <c r="H51" s="45"/>
      <c r="I51" s="45"/>
      <c r="J51" s="142"/>
      <c r="K51" s="142"/>
      <c r="L51" s="21"/>
      <c r="V51" s="90"/>
      <c r="AC51" s="266"/>
      <c r="AD51" s="266"/>
      <c r="AE51" s="266"/>
      <c r="AF51" s="254"/>
    </row>
    <row r="52" spans="1:33" ht="16.5" customHeight="1" x14ac:dyDescent="0.25">
      <c r="A52" s="1"/>
      <c r="B52" s="43"/>
      <c r="C52" s="43"/>
      <c r="D52" s="43"/>
      <c r="E52" s="43"/>
      <c r="F52" s="44"/>
      <c r="G52" s="44"/>
      <c r="H52" s="45"/>
      <c r="I52" s="45"/>
      <c r="J52" s="46"/>
      <c r="K52" s="46"/>
      <c r="L52" s="21"/>
      <c r="V52" s="90"/>
      <c r="AC52" s="276"/>
      <c r="AD52" s="276"/>
      <c r="AE52" s="276"/>
      <c r="AF52" s="262"/>
    </row>
    <row r="53" spans="1:33" s="163" customFormat="1" ht="21" customHeight="1" x14ac:dyDescent="0.3">
      <c r="A53" s="157" t="s">
        <v>174</v>
      </c>
      <c r="B53" s="158"/>
      <c r="C53" s="159"/>
      <c r="D53" s="159"/>
      <c r="E53" s="159"/>
      <c r="F53" s="160"/>
      <c r="G53" s="160"/>
      <c r="H53" s="161"/>
      <c r="I53" s="161"/>
      <c r="J53" s="160"/>
      <c r="K53" s="160"/>
      <c r="L53" s="39"/>
      <c r="M53" s="39"/>
      <c r="N53" s="162"/>
      <c r="O53" s="162"/>
      <c r="P53" s="162"/>
      <c r="V53" s="395" t="str">
        <f>A53</f>
        <v>Record Annual Activity (all leases)</v>
      </c>
      <c r="W53" s="396"/>
      <c r="X53" s="396"/>
      <c r="Y53" s="396"/>
      <c r="Z53" s="396"/>
      <c r="AA53" s="396"/>
      <c r="AB53" s="396"/>
      <c r="AC53" s="396"/>
      <c r="AD53" s="396"/>
      <c r="AE53" s="396"/>
      <c r="AF53" s="397"/>
    </row>
    <row r="54" spans="1:33" s="173" customFormat="1" ht="16.5" customHeight="1" x14ac:dyDescent="0.3">
      <c r="A54" s="170">
        <v>4</v>
      </c>
      <c r="B54" s="199" t="s">
        <v>132</v>
      </c>
      <c r="C54" s="176"/>
      <c r="D54" s="176"/>
      <c r="E54" s="176"/>
      <c r="F54" s="177"/>
      <c r="G54" s="177"/>
      <c r="H54" s="167"/>
      <c r="I54" s="167"/>
      <c r="J54" s="172"/>
      <c r="K54" s="172"/>
      <c r="V54" s="245">
        <f>A54</f>
        <v>4</v>
      </c>
      <c r="W54" s="270" t="str">
        <f>B54</f>
        <v>Record amortization of the leased assets for the year.</v>
      </c>
      <c r="AF54" s="254"/>
    </row>
    <row r="55" spans="1:33" ht="16.5" customHeight="1" x14ac:dyDescent="0.25">
      <c r="B55" s="26" t="s">
        <v>197</v>
      </c>
      <c r="C55" s="52"/>
      <c r="D55" s="178"/>
      <c r="E55" s="178"/>
      <c r="F55" s="179"/>
      <c r="G55" s="179"/>
      <c r="H55" s="180"/>
      <c r="I55" s="180"/>
      <c r="J55" s="181"/>
      <c r="K55" s="182"/>
      <c r="V55" s="90"/>
      <c r="W55" s="398" t="str">
        <f>LEFT(B55,13)</f>
        <v>Dr: Acct 0875</v>
      </c>
      <c r="X55" s="398"/>
      <c r="Y55" s="263">
        <f>IF(ROUND($J$55,-3)=ROUND($K$56,-3)+ROUND($K$57,-3)+ROUND($K$58,-3),ROUND($J$55,-3),SUM(ROUND($K$56,-3),ROUND($K$57,-3),ROUND($K$58,-3)))</f>
        <v>0</v>
      </c>
      <c r="AF55" s="254"/>
    </row>
    <row r="56" spans="1:33" ht="16.5" customHeight="1" x14ac:dyDescent="0.25">
      <c r="A56" s="88"/>
      <c r="B56" s="52"/>
      <c r="C56" s="26" t="s">
        <v>185</v>
      </c>
      <c r="D56" s="178"/>
      <c r="E56" s="178"/>
      <c r="F56" s="179"/>
      <c r="G56" s="179"/>
      <c r="H56" s="180"/>
      <c r="I56" s="180"/>
      <c r="J56" s="183"/>
      <c r="K56" s="181"/>
      <c r="V56" s="90"/>
      <c r="X56" s="265" t="str">
        <f>LEFT(C56,13)</f>
        <v>Cr: Acct 0485</v>
      </c>
      <c r="Z56" s="263">
        <f>ROUND($K$56,-3)</f>
        <v>0</v>
      </c>
      <c r="AF56" s="254"/>
    </row>
    <row r="57" spans="1:33" ht="16.5" customHeight="1" x14ac:dyDescent="0.25">
      <c r="A57" s="88"/>
      <c r="B57" s="52"/>
      <c r="C57" s="26" t="s">
        <v>182</v>
      </c>
      <c r="D57" s="178"/>
      <c r="E57" s="178"/>
      <c r="F57" s="179"/>
      <c r="G57" s="179"/>
      <c r="H57" s="180"/>
      <c r="I57" s="180"/>
      <c r="J57" s="183"/>
      <c r="K57" s="181"/>
      <c r="V57" s="90"/>
      <c r="X57" s="265" t="str">
        <f>LEFT(C57,13)</f>
        <v>Cr: Acct 0479</v>
      </c>
      <c r="Z57" s="263">
        <f>ROUND($K$57,-3)</f>
        <v>0</v>
      </c>
      <c r="AF57" s="254"/>
    </row>
    <row r="58" spans="1:33" ht="16.5" customHeight="1" x14ac:dyDescent="0.25">
      <c r="A58" s="88"/>
      <c r="B58" s="26"/>
      <c r="C58" s="26" t="s">
        <v>186</v>
      </c>
      <c r="D58" s="178"/>
      <c r="E58" s="178"/>
      <c r="F58" s="179"/>
      <c r="G58" s="179"/>
      <c r="H58" s="180"/>
      <c r="I58" s="180"/>
      <c r="J58" s="182"/>
      <c r="K58" s="181"/>
      <c r="V58" s="90"/>
      <c r="X58" s="265" t="str">
        <f>LEFT(C58,13)</f>
        <v>Cr: Acct 0486</v>
      </c>
      <c r="Z58" s="263">
        <f>ROUND($K$58,-3)</f>
        <v>0</v>
      </c>
      <c r="AF58" s="254"/>
    </row>
    <row r="59" spans="1:33" ht="16.5" customHeight="1" x14ac:dyDescent="0.25">
      <c r="A59" s="88"/>
      <c r="C59" s="43"/>
      <c r="D59" s="43"/>
      <c r="E59" s="43"/>
      <c r="F59" s="44"/>
      <c r="G59" s="44"/>
      <c r="H59" s="45"/>
      <c r="I59" s="45"/>
      <c r="J59" s="142">
        <f>SUM(J55:J58)</f>
        <v>0</v>
      </c>
      <c r="K59" s="142">
        <f>SUM(K55:K58)</f>
        <v>0</v>
      </c>
      <c r="L59" s="52" t="str">
        <f>IF(J59=K59,"&lt;- Debits and Credits equal each other.","&lt;- Debits and Credits do not equal each other.")</f>
        <v>&lt;- Debits and Credits equal each other.</v>
      </c>
      <c r="V59" s="90"/>
      <c r="Y59" s="317">
        <f>ROUND(SUM(Y55),2)</f>
        <v>0</v>
      </c>
      <c r="Z59" s="317">
        <f>ROUND(SUM(Z56:Z58),2)</f>
        <v>0</v>
      </c>
      <c r="AA59" s="394" t="str">
        <f>IF(Y59=Z59,"&lt;- Debits and Credits equal each other.","&lt;- Debits and Credits do not equal each other.")</f>
        <v>&lt;- Debits and Credits equal each other.</v>
      </c>
      <c r="AB59" s="394"/>
      <c r="AC59" s="394"/>
      <c r="AD59" s="394"/>
      <c r="AE59" s="394"/>
      <c r="AF59" s="254"/>
    </row>
    <row r="60" spans="1:33" ht="16.5" customHeight="1" x14ac:dyDescent="0.3">
      <c r="A60" s="88"/>
      <c r="B60" s="165"/>
      <c r="C60" s="47"/>
      <c r="D60" s="47"/>
      <c r="E60" s="47"/>
      <c r="F60" s="48"/>
      <c r="G60" s="48"/>
      <c r="H60" s="49"/>
      <c r="I60" s="49"/>
      <c r="V60" s="90"/>
      <c r="AF60" s="254"/>
    </row>
    <row r="61" spans="1:33" s="173" customFormat="1" ht="16.5" customHeight="1" x14ac:dyDescent="0.3">
      <c r="A61" s="170">
        <v>5</v>
      </c>
      <c r="B61" s="199" t="s">
        <v>1734</v>
      </c>
      <c r="C61" s="176"/>
      <c r="D61" s="176"/>
      <c r="E61" s="176"/>
      <c r="F61" s="177"/>
      <c r="G61" s="177"/>
      <c r="H61" s="167"/>
      <c r="I61" s="167"/>
      <c r="J61" s="181"/>
      <c r="K61" s="172"/>
      <c r="V61" s="245">
        <f>A61</f>
        <v>5</v>
      </c>
      <c r="W61" s="270" t="str">
        <f>B61</f>
        <v>Reclassify rents and leases exp. to lease contract principal and interest exp.</v>
      </c>
      <c r="AC61" s="37"/>
      <c r="AF61" s="254"/>
      <c r="AG61" s="37"/>
    </row>
    <row r="62" spans="1:33" ht="16.5" customHeight="1" x14ac:dyDescent="0.25">
      <c r="B62" s="26" t="s">
        <v>198</v>
      </c>
      <c r="C62" s="26"/>
      <c r="D62" s="178"/>
      <c r="E62" s="178"/>
      <c r="F62" s="179"/>
      <c r="G62" s="179"/>
      <c r="H62" s="180"/>
      <c r="I62" s="180"/>
      <c r="J62" s="184"/>
      <c r="K62" s="185"/>
      <c r="L62" s="37" t="str">
        <f>IF($J$62=$K$69,"","&lt;- Accts 0848 must agree")</f>
        <v/>
      </c>
      <c r="V62" s="90"/>
      <c r="W62" s="398" t="str">
        <f>LEFT(B62,13)</f>
        <v>Dr: Acct 0848</v>
      </c>
      <c r="X62" s="398"/>
      <c r="Y62" s="263">
        <f>ROUND($J$62,-3)</f>
        <v>0</v>
      </c>
      <c r="AF62" s="254"/>
    </row>
    <row r="63" spans="1:33" ht="16.5" customHeight="1" x14ac:dyDescent="0.25">
      <c r="A63" s="88"/>
      <c r="B63" s="26" t="str">
        <f>IF($F$7="Governmental","Dr: Acct 0851 - DEBT SERVICE - INTEREST LEASES","Dr: Acct 0894 - INTEREST EXPENSE AND FISCAL CHARGES")</f>
        <v>Dr: Acct 0894 - INTEREST EXPENSE AND FISCAL CHARGES</v>
      </c>
      <c r="C63" s="26"/>
      <c r="D63" s="178"/>
      <c r="E63" s="178"/>
      <c r="F63" s="179"/>
      <c r="G63" s="179"/>
      <c r="H63" s="180"/>
      <c r="I63" s="180"/>
      <c r="J63" s="181"/>
      <c r="K63" s="185"/>
      <c r="V63" s="90"/>
      <c r="W63" s="398" t="str">
        <f>LEFT(B63,13)</f>
        <v>Dr: Acct 0894</v>
      </c>
      <c r="X63" s="398"/>
      <c r="Y63" s="263">
        <f>ROUND($J$63,-3)</f>
        <v>0</v>
      </c>
      <c r="AF63" s="254"/>
    </row>
    <row r="64" spans="1:33" ht="16.5" customHeight="1" x14ac:dyDescent="0.25">
      <c r="A64" s="88"/>
      <c r="B64" s="26"/>
      <c r="C64" s="26" t="str">
        <f>IF($F$7="Proprietary","Cr: Acct 0870 - SERVICES &amp; CHARGES (MG ADJ)",VLOOKUP($F$9,'Drop Down Menus'!$F$2:$G$10,2,FALSE))</f>
        <v>Cr: Acct 0XXX - FUNCTIONAL EXPENSE</v>
      </c>
      <c r="D64" s="178"/>
      <c r="E64" s="178"/>
      <c r="F64" s="179"/>
      <c r="G64" s="179"/>
      <c r="H64" s="180"/>
      <c r="I64" s="180"/>
      <c r="J64" s="185"/>
      <c r="K64" s="181"/>
      <c r="V64" s="90"/>
      <c r="Z64" s="263">
        <f>SUM($Y$62:$Y$63)</f>
        <v>0</v>
      </c>
      <c r="AF64" s="254"/>
    </row>
    <row r="65" spans="1:33" ht="16.5" customHeight="1" x14ac:dyDescent="0.25">
      <c r="A65" s="88"/>
      <c r="C65" s="43"/>
      <c r="D65" s="43"/>
      <c r="E65" s="43"/>
      <c r="F65" s="44"/>
      <c r="G65" s="44"/>
      <c r="H65" s="45"/>
      <c r="I65" s="45"/>
      <c r="J65" s="142">
        <f>SUM(J62:J64)</f>
        <v>0</v>
      </c>
      <c r="K65" s="142">
        <f>SUM(K62:K64)</f>
        <v>0</v>
      </c>
      <c r="L65" s="52" t="str">
        <f>IF(J65=K65,"&lt;- Debits and Credits equal each other.","&lt;- Debits and Credits do not equal each other.")</f>
        <v>&lt;- Debits and Credits equal each other.</v>
      </c>
      <c r="V65" s="90"/>
      <c r="Y65" s="317">
        <f>ROUND(SUM(Y62:Y63),2)</f>
        <v>0</v>
      </c>
      <c r="Z65" s="317">
        <f>ROUND(SUM(Z64),2)</f>
        <v>0</v>
      </c>
      <c r="AA65" s="394" t="str">
        <f>IF(Y65=Z65,"&lt;- Debits and Credits equal each other.","&lt;- Debits and Credits do not equal each other.")</f>
        <v>&lt;- Debits and Credits equal each other.</v>
      </c>
      <c r="AB65" s="394"/>
      <c r="AC65" s="394"/>
      <c r="AD65" s="394"/>
      <c r="AE65" s="394"/>
      <c r="AF65" s="254"/>
    </row>
    <row r="66" spans="1:33" ht="16.5" customHeight="1" x14ac:dyDescent="0.3">
      <c r="A66" s="1"/>
      <c r="B66" s="165"/>
      <c r="C66" s="43"/>
      <c r="D66" s="43"/>
      <c r="E66" s="43"/>
      <c r="F66" s="44"/>
      <c r="G66" s="44"/>
      <c r="H66" s="45"/>
      <c r="I66" s="45"/>
      <c r="J66" s="46"/>
      <c r="K66" s="46"/>
      <c r="L66" s="21"/>
      <c r="V66" s="90"/>
      <c r="AF66" s="254"/>
    </row>
    <row r="67" spans="1:33" s="173" customFormat="1" ht="16.5" customHeight="1" x14ac:dyDescent="0.3">
      <c r="A67" s="170">
        <v>6</v>
      </c>
      <c r="B67" s="199" t="s">
        <v>138</v>
      </c>
      <c r="C67" s="176"/>
      <c r="D67" s="176"/>
      <c r="E67" s="176"/>
      <c r="F67" s="177"/>
      <c r="G67" s="177"/>
      <c r="H67" s="167"/>
      <c r="I67" s="167"/>
      <c r="J67" s="172"/>
      <c r="K67" s="172"/>
      <c r="V67" s="245">
        <f>A67</f>
        <v>6</v>
      </c>
      <c r="W67" s="270" t="str">
        <f>B67</f>
        <v>Reduce lease contracts liability for total current year principal payments.</v>
      </c>
      <c r="AF67" s="254"/>
      <c r="AG67" s="37"/>
    </row>
    <row r="68" spans="1:33" ht="16.5" customHeight="1" x14ac:dyDescent="0.25">
      <c r="A68" s="216" t="s">
        <v>1687</v>
      </c>
      <c r="B68" s="26" t="s">
        <v>199</v>
      </c>
      <c r="C68" s="26"/>
      <c r="D68" s="178"/>
      <c r="E68" s="178"/>
      <c r="F68" s="179"/>
      <c r="G68" s="179"/>
      <c r="H68" s="180"/>
      <c r="I68" s="180"/>
      <c r="J68" s="181"/>
      <c r="K68" s="182"/>
      <c r="V68" s="90"/>
      <c r="W68" s="398" t="str">
        <f>LEFT(B68,13)</f>
        <v>Dr: Acct 0691</v>
      </c>
      <c r="X68" s="398"/>
      <c r="Y68" s="263">
        <f>ROUND($J$68,-3)</f>
        <v>0</v>
      </c>
      <c r="AF68" s="254"/>
    </row>
    <row r="69" spans="1:33" ht="16.5" customHeight="1" x14ac:dyDescent="0.25">
      <c r="A69" s="88"/>
      <c r="B69" s="26"/>
      <c r="C69" s="26" t="s">
        <v>200</v>
      </c>
      <c r="D69" s="178"/>
      <c r="E69" s="178"/>
      <c r="F69" s="179"/>
      <c r="G69" s="179"/>
      <c r="H69" s="180"/>
      <c r="I69" s="180"/>
      <c r="J69" s="182"/>
      <c r="K69" s="181"/>
      <c r="L69" s="37" t="str">
        <f>IF($J$62=$K$69,"","&lt;- Accts 0848 must agree")</f>
        <v/>
      </c>
      <c r="V69" s="90"/>
      <c r="X69" s="265" t="str">
        <f>LEFT(C69,13)</f>
        <v>Cr: Acct 0848</v>
      </c>
      <c r="Z69" s="263">
        <f>ROUND($K$69,-3)</f>
        <v>0</v>
      </c>
      <c r="AF69" s="254"/>
    </row>
    <row r="70" spans="1:33" ht="16.5" customHeight="1" x14ac:dyDescent="0.25">
      <c r="A70" s="88"/>
      <c r="C70" s="43"/>
      <c r="D70" s="43"/>
      <c r="E70" s="43"/>
      <c r="F70" s="44"/>
      <c r="G70" s="44"/>
      <c r="H70" s="45"/>
      <c r="I70" s="45"/>
      <c r="J70" s="142">
        <f>SUM(J68:J69)</f>
        <v>0</v>
      </c>
      <c r="K70" s="142">
        <f>SUM(K68:K69)</f>
        <v>0</v>
      </c>
      <c r="L70" s="52" t="str">
        <f>IF(J70=K70,"&lt;- Debits and Credits equal each other.","&lt;- Debits and Credits do not equal each other.")</f>
        <v>&lt;- Debits and Credits equal each other.</v>
      </c>
      <c r="V70" s="90"/>
      <c r="Y70" s="317">
        <f>ROUND(SUM(Y68),2)</f>
        <v>0</v>
      </c>
      <c r="Z70" s="317">
        <f>ROUND(SUM(Z69),2)</f>
        <v>0</v>
      </c>
      <c r="AA70" s="394" t="str">
        <f>IF(Y70=Z70,"&lt;- Debits and Credits equal each other.","&lt;- Debits and Credits do not equal each other.")</f>
        <v>&lt;- Debits and Credits equal each other.</v>
      </c>
      <c r="AB70" s="394"/>
      <c r="AC70" s="394"/>
      <c r="AD70" s="394"/>
      <c r="AE70" s="394"/>
      <c r="AF70" s="254"/>
    </row>
    <row r="71" spans="1:33" ht="16.5" customHeight="1" x14ac:dyDescent="0.25">
      <c r="A71" s="88"/>
      <c r="B71" s="217" t="s">
        <v>1688</v>
      </c>
      <c r="C71" s="43"/>
      <c r="D71" s="43"/>
      <c r="E71" s="43"/>
      <c r="F71" s="44"/>
      <c r="G71" s="44"/>
      <c r="H71" s="45"/>
      <c r="I71" s="45"/>
      <c r="V71" s="90"/>
      <c r="AF71" s="261"/>
    </row>
    <row r="72" spans="1:33" ht="16.5" customHeight="1" x14ac:dyDescent="0.25">
      <c r="A72" s="88"/>
      <c r="B72" s="217"/>
      <c r="C72" s="43"/>
      <c r="D72" s="43"/>
      <c r="E72" s="43"/>
      <c r="F72" s="44"/>
      <c r="G72" s="44"/>
      <c r="H72" s="45"/>
      <c r="I72" s="45"/>
      <c r="V72" s="90"/>
      <c r="AF72" s="261"/>
    </row>
    <row r="73" spans="1:33" ht="16.5" customHeight="1" x14ac:dyDescent="0.25">
      <c r="A73" s="88"/>
      <c r="B73" s="217"/>
      <c r="C73" s="43"/>
      <c r="D73" s="43"/>
      <c r="E73" s="43"/>
      <c r="F73" s="44"/>
      <c r="G73" s="44"/>
      <c r="H73" s="45"/>
      <c r="I73" s="45"/>
      <c r="V73" s="90"/>
      <c r="AF73" s="261"/>
    </row>
    <row r="74" spans="1:33" s="173" customFormat="1" ht="16.5" customHeight="1" x14ac:dyDescent="0.3">
      <c r="A74" s="170">
        <v>7</v>
      </c>
      <c r="B74" s="199" t="s">
        <v>134</v>
      </c>
      <c r="C74" s="176"/>
      <c r="D74" s="176"/>
      <c r="E74" s="176"/>
      <c r="F74" s="177"/>
      <c r="G74" s="177"/>
      <c r="H74" s="167"/>
      <c r="I74" s="167"/>
      <c r="J74" s="172"/>
      <c r="K74" s="172"/>
      <c r="V74" s="245">
        <f>A74</f>
        <v>7</v>
      </c>
      <c r="W74" s="270" t="str">
        <f>B74</f>
        <v>Reclassify the principal amount due in the next FY to the current liability.</v>
      </c>
      <c r="AF74" s="277"/>
    </row>
    <row r="75" spans="1:33" ht="16.5" customHeight="1" x14ac:dyDescent="0.25">
      <c r="A75" s="216" t="s">
        <v>1687</v>
      </c>
      <c r="B75" s="26" t="s">
        <v>199</v>
      </c>
      <c r="C75" s="26"/>
      <c r="D75" s="178"/>
      <c r="E75" s="178"/>
      <c r="F75" s="179"/>
      <c r="G75" s="179"/>
      <c r="H75" s="180"/>
      <c r="I75" s="180"/>
      <c r="J75" s="181"/>
      <c r="K75" s="182"/>
      <c r="V75" s="90"/>
      <c r="W75" s="398" t="str">
        <f>LEFT(B75,13)</f>
        <v>Dr: Acct 0691</v>
      </c>
      <c r="X75" s="398"/>
      <c r="Y75" s="263">
        <f>ROUND($J$75,-3)</f>
        <v>0</v>
      </c>
      <c r="AF75" s="261"/>
    </row>
    <row r="76" spans="1:33" ht="16.5" customHeight="1" x14ac:dyDescent="0.25">
      <c r="A76" s="88"/>
      <c r="B76" s="26"/>
      <c r="C76" s="26" t="s">
        <v>208</v>
      </c>
      <c r="D76" s="178"/>
      <c r="E76" s="178"/>
      <c r="F76" s="179"/>
      <c r="G76" s="179"/>
      <c r="H76" s="180"/>
      <c r="I76" s="180"/>
      <c r="J76" s="182"/>
      <c r="K76" s="181"/>
      <c r="V76" s="90"/>
      <c r="X76" s="265" t="str">
        <f>LEFT(C76,13)</f>
        <v>Cr: Acct 0649</v>
      </c>
      <c r="Z76" s="263">
        <f>ROUND($K$76,-3)</f>
        <v>0</v>
      </c>
      <c r="AF76" s="261"/>
    </row>
    <row r="77" spans="1:33" ht="16.5" customHeight="1" x14ac:dyDescent="0.2">
      <c r="A77" s="88"/>
      <c r="B77" s="393" t="s">
        <v>1723</v>
      </c>
      <c r="C77" s="393"/>
      <c r="D77" s="393"/>
      <c r="E77" s="393"/>
      <c r="F77" s="393"/>
      <c r="G77" s="393"/>
      <c r="H77" s="393"/>
      <c r="I77" s="393"/>
      <c r="J77" s="142">
        <f>SUM(J75:J76)</f>
        <v>0</v>
      </c>
      <c r="K77" s="142">
        <f>SUM(K75:K76)</f>
        <v>0</v>
      </c>
      <c r="L77" s="52" t="str">
        <f>IF(J77=K77,"&lt;- Debits and Credits equal each other.","&lt;- Debits and Credits do not equal each other.")</f>
        <v>&lt;- Debits and Credits equal each other.</v>
      </c>
      <c r="V77" s="90"/>
      <c r="Y77" s="317">
        <f>ROUND(SUM(Y75),2)</f>
        <v>0</v>
      </c>
      <c r="Z77" s="317">
        <f>ROUND(SUM(Z76),2)</f>
        <v>0</v>
      </c>
      <c r="AA77" s="394" t="str">
        <f>IF(Y77=Z77,"&lt;- Debits and Credits equal each other.","&lt;- Debits and Credits do not equal each other.")</f>
        <v>&lt;- Debits and Credits equal each other.</v>
      </c>
      <c r="AB77" s="394"/>
      <c r="AC77" s="394"/>
      <c r="AD77" s="394"/>
      <c r="AE77" s="394"/>
      <c r="AF77" s="261"/>
    </row>
    <row r="78" spans="1:33" ht="16.5" customHeight="1" x14ac:dyDescent="0.2">
      <c r="A78" s="88"/>
      <c r="B78" s="393"/>
      <c r="C78" s="393"/>
      <c r="D78" s="393"/>
      <c r="E78" s="393"/>
      <c r="F78" s="393"/>
      <c r="G78" s="393"/>
      <c r="H78" s="393"/>
      <c r="I78" s="393"/>
      <c r="J78" s="142"/>
      <c r="K78" s="142"/>
      <c r="L78" s="21"/>
      <c r="V78" s="90"/>
      <c r="Y78" s="321"/>
      <c r="Z78" s="321"/>
      <c r="AF78" s="261"/>
    </row>
    <row r="79" spans="1:33" ht="28.5" customHeight="1" x14ac:dyDescent="0.2">
      <c r="A79" s="88"/>
      <c r="B79" s="393"/>
      <c r="C79" s="393"/>
      <c r="D79" s="393"/>
      <c r="E79" s="393"/>
      <c r="F79" s="393"/>
      <c r="G79" s="393"/>
      <c r="H79" s="393"/>
      <c r="I79" s="393"/>
      <c r="J79" s="142"/>
      <c r="K79" s="142"/>
      <c r="L79" s="21"/>
      <c r="V79" s="90"/>
      <c r="AF79" s="261"/>
    </row>
    <row r="80" spans="1:33" ht="16.5" customHeight="1" x14ac:dyDescent="0.25">
      <c r="A80" s="1"/>
      <c r="B80" s="217" t="s">
        <v>1689</v>
      </c>
      <c r="C80" s="43"/>
      <c r="D80" s="43"/>
      <c r="E80" s="43"/>
      <c r="F80" s="44"/>
      <c r="G80" s="44"/>
      <c r="H80" s="45"/>
      <c r="I80" s="45"/>
      <c r="J80" s="46"/>
      <c r="K80" s="46"/>
      <c r="L80" s="21"/>
      <c r="V80" s="90"/>
      <c r="AF80" s="261"/>
    </row>
    <row r="81" spans="1:32" ht="16.5" customHeight="1" x14ac:dyDescent="0.25">
      <c r="A81" s="1"/>
      <c r="B81" s="217"/>
      <c r="C81" s="43"/>
      <c r="D81" s="43"/>
      <c r="E81" s="43"/>
      <c r="F81" s="44"/>
      <c r="G81" s="44"/>
      <c r="H81" s="45"/>
      <c r="I81" s="45"/>
      <c r="J81" s="46"/>
      <c r="K81" s="46"/>
      <c r="L81" s="21"/>
      <c r="V81" s="90"/>
      <c r="AF81" s="261"/>
    </row>
    <row r="82" spans="1:32" ht="16.5" customHeight="1" x14ac:dyDescent="0.3">
      <c r="A82" s="1"/>
      <c r="B82" s="165"/>
      <c r="C82" s="43"/>
      <c r="D82" s="43"/>
      <c r="E82" s="43"/>
      <c r="F82" s="44"/>
      <c r="G82" s="44"/>
      <c r="H82" s="45"/>
      <c r="I82" s="45"/>
      <c r="J82" s="46"/>
      <c r="K82" s="46"/>
      <c r="L82" s="21"/>
      <c r="V82" s="90"/>
      <c r="AF82" s="261"/>
    </row>
    <row r="83" spans="1:32" s="163" customFormat="1" ht="21" customHeight="1" x14ac:dyDescent="0.3">
      <c r="A83" s="157" t="s">
        <v>175</v>
      </c>
      <c r="B83" s="158"/>
      <c r="C83" s="159"/>
      <c r="D83" s="159"/>
      <c r="E83" s="159"/>
      <c r="F83" s="160"/>
      <c r="G83" s="160"/>
      <c r="H83" s="161"/>
      <c r="I83" s="161"/>
      <c r="J83" s="160"/>
      <c r="K83" s="160"/>
      <c r="L83" s="39"/>
      <c r="M83" s="39"/>
      <c r="N83" s="162"/>
      <c r="O83" s="162"/>
      <c r="P83" s="162"/>
      <c r="V83" s="395" t="str">
        <f>A83</f>
        <v>Remove Lease Asset at the End of the Lease Term (only at the end of the lease term)</v>
      </c>
      <c r="W83" s="396"/>
      <c r="X83" s="396"/>
      <c r="Y83" s="396"/>
      <c r="Z83" s="396"/>
      <c r="AA83" s="396"/>
      <c r="AB83" s="396"/>
      <c r="AC83" s="396"/>
      <c r="AD83" s="396"/>
      <c r="AE83" s="396"/>
      <c r="AF83" s="397"/>
    </row>
    <row r="84" spans="1:32" s="173" customFormat="1" ht="16.5" customHeight="1" x14ac:dyDescent="0.3">
      <c r="A84" s="170">
        <v>8</v>
      </c>
      <c r="B84" s="199" t="s">
        <v>205</v>
      </c>
      <c r="H84" s="171"/>
      <c r="V84" s="245">
        <f>A84</f>
        <v>8</v>
      </c>
      <c r="W84" s="270" t="str">
        <f>B84</f>
        <v>Record entry to write off the lease asset and accumulated amortization at the end of the lease term.</v>
      </c>
      <c r="X84" s="272"/>
      <c r="Y84" s="272"/>
      <c r="Z84" s="272"/>
      <c r="AF84" s="277"/>
    </row>
    <row r="85" spans="1:32" ht="16.5" customHeight="1" x14ac:dyDescent="0.3">
      <c r="B85" s="26" t="s">
        <v>201</v>
      </c>
      <c r="C85" s="26"/>
      <c r="D85" s="178"/>
      <c r="E85" s="178"/>
      <c r="F85" s="179"/>
      <c r="G85" s="179"/>
      <c r="H85" s="180"/>
      <c r="I85" s="180"/>
      <c r="J85" s="181"/>
      <c r="K85" s="182"/>
      <c r="L85" s="21"/>
      <c r="V85" s="259"/>
      <c r="W85" s="398" t="str">
        <f>LEFT(B85,13)</f>
        <v>Dr: Acct 0485</v>
      </c>
      <c r="X85" s="398"/>
      <c r="Y85" s="263">
        <f>ROUND($J$85,-3)</f>
        <v>0</v>
      </c>
      <c r="Z85" s="292"/>
      <c r="AF85" s="261"/>
    </row>
    <row r="86" spans="1:32" ht="16.5" customHeight="1" x14ac:dyDescent="0.2">
      <c r="A86" s="88"/>
      <c r="B86" s="26" t="s">
        <v>170</v>
      </c>
      <c r="C86" s="52"/>
      <c r="D86" s="52"/>
      <c r="E86" s="52"/>
      <c r="F86" s="52"/>
      <c r="G86" s="52"/>
      <c r="H86" s="52"/>
      <c r="I86" s="52"/>
      <c r="J86" s="181"/>
      <c r="K86" s="186"/>
      <c r="V86" s="246"/>
      <c r="W86" s="398" t="str">
        <f>LEFT(B86,13)</f>
        <v>Dr: Acct 0479</v>
      </c>
      <c r="X86" s="398"/>
      <c r="Y86" s="263">
        <f>ROUND($J$86,-3)</f>
        <v>0</v>
      </c>
      <c r="Z86" s="260"/>
      <c r="AF86" s="261"/>
    </row>
    <row r="87" spans="1:32" ht="16.5" customHeight="1" x14ac:dyDescent="0.2">
      <c r="A87" s="88"/>
      <c r="B87" s="26" t="s">
        <v>202</v>
      </c>
      <c r="C87" s="52"/>
      <c r="D87" s="52"/>
      <c r="E87" s="52"/>
      <c r="F87" s="52"/>
      <c r="G87" s="52"/>
      <c r="H87" s="52"/>
      <c r="I87" s="52"/>
      <c r="J87" s="181"/>
      <c r="K87" s="186"/>
      <c r="V87" s="249"/>
      <c r="W87" s="398" t="str">
        <f>LEFT(B87,13)</f>
        <v>Dr: Acct 0486</v>
      </c>
      <c r="X87" s="398"/>
      <c r="Y87" s="263">
        <f>ROUND($J$87,-3)</f>
        <v>0</v>
      </c>
      <c r="Z87" s="260"/>
      <c r="AF87" s="261"/>
    </row>
    <row r="88" spans="1:32" ht="16.5" customHeight="1" x14ac:dyDescent="0.2">
      <c r="A88" s="210" t="s">
        <v>1679</v>
      </c>
      <c r="B88" s="52"/>
      <c r="C88" s="26" t="s">
        <v>203</v>
      </c>
      <c r="D88" s="52"/>
      <c r="E88" s="52"/>
      <c r="F88" s="52"/>
      <c r="G88" s="52"/>
      <c r="H88" s="52"/>
      <c r="I88" s="52"/>
      <c r="J88" s="186"/>
      <c r="K88" s="181"/>
      <c r="V88" s="249"/>
      <c r="W88" s="290"/>
      <c r="X88" s="265" t="str">
        <f>LEFT(C88,13)</f>
        <v>Cr: Acct 0476</v>
      </c>
      <c r="Y88" s="260"/>
      <c r="Z88" s="263">
        <f>ROUND($K$88,-3)</f>
        <v>0</v>
      </c>
      <c r="AF88" s="261"/>
    </row>
    <row r="89" spans="1:32" ht="16.5" customHeight="1" x14ac:dyDescent="0.2">
      <c r="A89" s="210" t="s">
        <v>1679</v>
      </c>
      <c r="B89" s="52"/>
      <c r="C89" s="26" t="s">
        <v>171</v>
      </c>
      <c r="D89" s="52"/>
      <c r="E89" s="52"/>
      <c r="F89" s="52"/>
      <c r="G89" s="52"/>
      <c r="H89" s="52"/>
      <c r="I89" s="52"/>
      <c r="J89" s="186"/>
      <c r="K89" s="181"/>
      <c r="V89" s="90"/>
      <c r="X89" s="265" t="str">
        <f>LEFT(C89,13)</f>
        <v>Cr: Acct 0478</v>
      </c>
      <c r="Z89" s="263">
        <f>ROUND($K$89,-3)</f>
        <v>0</v>
      </c>
      <c r="AF89" s="261"/>
    </row>
    <row r="90" spans="1:32" ht="16.5" customHeight="1" x14ac:dyDescent="0.2">
      <c r="A90" s="210" t="s">
        <v>1679</v>
      </c>
      <c r="B90" s="52"/>
      <c r="C90" s="26" t="s">
        <v>204</v>
      </c>
      <c r="D90" s="52"/>
      <c r="E90" s="52"/>
      <c r="F90" s="52"/>
      <c r="G90" s="52"/>
      <c r="H90" s="52"/>
      <c r="I90" s="52"/>
      <c r="J90" s="186"/>
      <c r="K90" s="181"/>
      <c r="V90" s="90"/>
      <c r="X90" s="265" t="str">
        <f>LEFT(C90,13)</f>
        <v>Cr: Acct 0477</v>
      </c>
      <c r="Z90" s="263">
        <f>ROUND($K$90,-3)</f>
        <v>0</v>
      </c>
      <c r="AF90" s="261"/>
    </row>
    <row r="91" spans="1:32" ht="16.5" customHeight="1" x14ac:dyDescent="0.25">
      <c r="B91" s="167" t="s">
        <v>1682</v>
      </c>
      <c r="H91" s="37"/>
      <c r="J91" s="143">
        <f>SUM(J85:J90)</f>
        <v>0</v>
      </c>
      <c r="K91" s="143">
        <f>SUM(K85:K90)</f>
        <v>0</v>
      </c>
      <c r="L91" s="52" t="str">
        <f>IF(J91=K91,"&lt;- Debits and Credits equal each other.","&lt;- Debits and Credits do not equal each other.")</f>
        <v>&lt;- Debits and Credits equal each other.</v>
      </c>
      <c r="V91" s="90"/>
      <c r="Y91" s="317">
        <f>ROUND(SUM(Y85:Y87),2)</f>
        <v>0</v>
      </c>
      <c r="Z91" s="317">
        <f>ROUND(SUM(Z88:Z90),2)</f>
        <v>0</v>
      </c>
      <c r="AA91" s="394" t="str">
        <f>IF(Y91=Z91,"&lt;- Debits and Credits equal each other.","&lt;- Debits and Credits do not equal each other.")</f>
        <v>&lt;- Debits and Credits equal each other.</v>
      </c>
      <c r="AB91" s="394"/>
      <c r="AC91" s="394"/>
      <c r="AD91" s="394"/>
      <c r="AE91" s="394"/>
      <c r="AF91" s="261"/>
    </row>
    <row r="92" spans="1:32" ht="16.5" customHeight="1" x14ac:dyDescent="0.25">
      <c r="H92" s="37"/>
      <c r="V92" s="90"/>
      <c r="AF92" s="261"/>
    </row>
    <row r="93" spans="1:32" ht="16.5" customHeight="1" x14ac:dyDescent="0.25">
      <c r="H93" s="37"/>
      <c r="V93" s="90"/>
      <c r="AF93" s="261"/>
    </row>
    <row r="94" spans="1:32" s="163" customFormat="1" ht="21" customHeight="1" x14ac:dyDescent="0.3">
      <c r="A94" s="157" t="s">
        <v>1647</v>
      </c>
      <c r="B94" s="158"/>
      <c r="C94" s="159"/>
      <c r="D94" s="159"/>
      <c r="E94" s="159"/>
      <c r="F94" s="160"/>
      <c r="G94" s="160"/>
      <c r="H94" s="161"/>
      <c r="I94" s="161"/>
      <c r="J94" s="160"/>
      <c r="K94" s="160"/>
      <c r="L94" s="39"/>
      <c r="M94" s="39"/>
      <c r="N94" s="162"/>
      <c r="O94" s="162"/>
      <c r="P94" s="162"/>
      <c r="V94" s="395" t="str">
        <f>A94</f>
        <v>Lease Remeasurement and Modifications (only if a significant modification occurred during the fiscal year)</v>
      </c>
      <c r="W94" s="396"/>
      <c r="X94" s="396"/>
      <c r="Y94" s="396"/>
      <c r="Z94" s="396"/>
      <c r="AA94" s="396"/>
      <c r="AB94" s="396"/>
      <c r="AC94" s="396"/>
      <c r="AD94" s="396"/>
      <c r="AE94" s="396"/>
      <c r="AF94" s="397"/>
    </row>
    <row r="95" spans="1:32" s="173" customFormat="1" ht="16.5" customHeight="1" x14ac:dyDescent="0.3">
      <c r="A95" s="169">
        <v>9</v>
      </c>
      <c r="B95" s="199" t="s">
        <v>1877</v>
      </c>
      <c r="C95" s="174"/>
      <c r="D95" s="174"/>
      <c r="E95" s="174"/>
      <c r="F95" s="174"/>
      <c r="G95" s="174"/>
      <c r="H95" s="174"/>
      <c r="I95" s="174"/>
      <c r="J95" s="175"/>
      <c r="K95" s="175"/>
      <c r="V95" s="245">
        <f>A95</f>
        <v>9</v>
      </c>
      <c r="W95" s="270" t="str">
        <f>B95</f>
        <v xml:space="preserve">Record early termination or lease modifications that decrease the RTU leased asset. </v>
      </c>
      <c r="X95" s="272"/>
      <c r="AF95" s="277"/>
    </row>
    <row r="96" spans="1:32" ht="16.5" customHeight="1" x14ac:dyDescent="0.2">
      <c r="A96" s="216" t="s">
        <v>1687</v>
      </c>
      <c r="B96" s="26" t="s">
        <v>199</v>
      </c>
      <c r="C96" s="26"/>
      <c r="D96" s="20"/>
      <c r="E96" s="20"/>
      <c r="F96" s="20"/>
      <c r="G96" s="20"/>
      <c r="H96" s="20"/>
      <c r="I96" s="20"/>
      <c r="J96" s="181"/>
      <c r="K96" s="187"/>
      <c r="M96" s="205"/>
      <c r="V96" s="259"/>
      <c r="W96" s="398" t="str">
        <f>LEFT(B96,13)</f>
        <v>Dr: Acct 0691</v>
      </c>
      <c r="X96" s="398"/>
      <c r="Y96" s="263">
        <f>ROUND($J$96,-3)</f>
        <v>0</v>
      </c>
      <c r="AF96" s="261"/>
    </row>
    <row r="97" spans="1:32" ht="16.5" customHeight="1" x14ac:dyDescent="0.2">
      <c r="B97" s="26" t="s">
        <v>201</v>
      </c>
      <c r="C97" s="52"/>
      <c r="D97" s="52"/>
      <c r="E97" s="52"/>
      <c r="F97" s="52"/>
      <c r="G97" s="52"/>
      <c r="H97" s="52"/>
      <c r="I97" s="52"/>
      <c r="J97" s="181"/>
      <c r="K97" s="52"/>
      <c r="M97" s="205"/>
      <c r="V97" s="246"/>
      <c r="W97" s="398" t="str">
        <f>LEFT(B97,13)</f>
        <v>Dr: Acct 0485</v>
      </c>
      <c r="X97" s="398"/>
      <c r="Y97" s="263">
        <f>ROUND($J$97,-3)</f>
        <v>0</v>
      </c>
      <c r="AF97" s="261"/>
    </row>
    <row r="98" spans="1:32" ht="16.5" customHeight="1" x14ac:dyDescent="0.2">
      <c r="B98" s="26" t="s">
        <v>170</v>
      </c>
      <c r="C98" s="52"/>
      <c r="D98" s="52"/>
      <c r="E98" s="52"/>
      <c r="F98" s="52"/>
      <c r="G98" s="52"/>
      <c r="H98" s="52"/>
      <c r="I98" s="52"/>
      <c r="J98" s="181"/>
      <c r="K98" s="52"/>
      <c r="M98" s="205"/>
      <c r="V98" s="90"/>
      <c r="W98" s="398" t="str">
        <f>LEFT(B98,13)</f>
        <v>Dr: Acct 0479</v>
      </c>
      <c r="X98" s="398"/>
      <c r="Y98" s="263">
        <f>ROUND($J$98,-3)</f>
        <v>0</v>
      </c>
      <c r="AF98" s="261"/>
    </row>
    <row r="99" spans="1:32" ht="16.5" customHeight="1" x14ac:dyDescent="0.2">
      <c r="B99" s="26" t="s">
        <v>202</v>
      </c>
      <c r="C99" s="52"/>
      <c r="D99" s="52"/>
      <c r="E99" s="52"/>
      <c r="F99" s="52"/>
      <c r="G99" s="52"/>
      <c r="H99" s="52"/>
      <c r="I99" s="52"/>
      <c r="J99" s="181"/>
      <c r="K99" s="52"/>
      <c r="M99" s="205"/>
      <c r="V99" s="90"/>
      <c r="W99" s="398" t="str">
        <f>LEFT(B99,13)</f>
        <v>Dr: Acct 0486</v>
      </c>
      <c r="X99" s="398"/>
      <c r="Y99" s="263">
        <f>ROUND($J$99,-3)</f>
        <v>0</v>
      </c>
      <c r="AF99" s="261"/>
    </row>
    <row r="100" spans="1:32" ht="16.5" customHeight="1" x14ac:dyDescent="0.2">
      <c r="B100" s="26" t="str">
        <f>IF($F$7="Proprietary","Dr: Acct 0870 - SERVICES &amp; CHARGES (MG ADJ)",VLOOKUP($F$9,'Drop Down Menus'!$F$2:$H$10,3,FALSE))</f>
        <v>Dr: Acct 0XXX - FUNCTIONAL EXPENSE</v>
      </c>
      <c r="C100" s="52"/>
      <c r="D100" s="52"/>
      <c r="E100" s="52"/>
      <c r="F100" s="52"/>
      <c r="G100" s="52"/>
      <c r="H100" s="52"/>
      <c r="I100" s="52"/>
      <c r="J100" s="181"/>
      <c r="K100" s="52"/>
      <c r="M100" s="205"/>
      <c r="V100" s="90"/>
      <c r="W100" s="398" t="str">
        <f>LEFT(B100,13)</f>
        <v>Dr: Acct 0XXX</v>
      </c>
      <c r="X100" s="398"/>
      <c r="Y100" s="263">
        <f>IF(SUM(ROUND($J$96,-3),ROUND($J$97,-3),ROUND($J$98,-3),ROUND($J$99,-3),ROUND($J$100,-3))=SUM(ROUND($K$101,-3),ROUND($K$102,-3),ROUND($K$103,-3),ROUND($K$104,-3)),ROUND($J$100,-3),IF(SUM(ROUND($J$96,-3),ROUND($J$97,-3),ROUND($J$98,-3),ROUND($J$99,-3),ROUND($J$100,-3))&gt;SUM(ROUND($K$101,-3),ROUND($K$102,-3),ROUND($K$103,-3),ROUND($K$104,-3)),ROUND($J$100,-3),SUM(ROUND($K$101,-3),ROUND($K$102,-3),ROUND($K$103,-3),ROUND($K$104,-3)-SUM(ROUND($J$96,-3),ROUND($J$97,-3),ROUND($J$98,-3),ROUND($J$99,-3),ROUND($J$100,-3)))))</f>
        <v>0</v>
      </c>
      <c r="AF100" s="261"/>
    </row>
    <row r="101" spans="1:32" ht="16.5" customHeight="1" x14ac:dyDescent="0.2">
      <c r="A101" s="210" t="s">
        <v>1679</v>
      </c>
      <c r="B101" s="52"/>
      <c r="C101" s="26" t="s">
        <v>203</v>
      </c>
      <c r="D101" s="52"/>
      <c r="E101" s="52"/>
      <c r="F101" s="52"/>
      <c r="G101" s="52"/>
      <c r="H101" s="52"/>
      <c r="I101" s="52"/>
      <c r="J101" s="52"/>
      <c r="K101" s="181"/>
      <c r="N101" s="205"/>
      <c r="V101" s="90"/>
      <c r="X101" s="265" t="str">
        <f>LEFT(C101,13)</f>
        <v>Cr: Acct 0476</v>
      </c>
      <c r="Y101" s="260"/>
      <c r="Z101" s="263">
        <f>ROUND($K$101,-3)</f>
        <v>0</v>
      </c>
      <c r="AF101" s="261"/>
    </row>
    <row r="102" spans="1:32" ht="16.5" customHeight="1" x14ac:dyDescent="0.2">
      <c r="A102" s="210" t="s">
        <v>1679</v>
      </c>
      <c r="B102" s="52"/>
      <c r="C102" s="26" t="s">
        <v>171</v>
      </c>
      <c r="D102" s="52"/>
      <c r="E102" s="52"/>
      <c r="F102" s="52"/>
      <c r="G102" s="52"/>
      <c r="H102" s="52"/>
      <c r="I102" s="52"/>
      <c r="J102" s="52"/>
      <c r="K102" s="181"/>
      <c r="N102" s="205"/>
      <c r="V102" s="90"/>
      <c r="X102" s="265" t="str">
        <f>LEFT(C102,13)</f>
        <v>Cr: Acct 0478</v>
      </c>
      <c r="Y102" s="260"/>
      <c r="Z102" s="263">
        <f>ROUND($K$102,-3)</f>
        <v>0</v>
      </c>
      <c r="AF102" s="261"/>
    </row>
    <row r="103" spans="1:32" ht="16.5" customHeight="1" x14ac:dyDescent="0.2">
      <c r="A103" s="210" t="s">
        <v>1679</v>
      </c>
      <c r="B103" s="52"/>
      <c r="C103" s="26" t="s">
        <v>204</v>
      </c>
      <c r="D103" s="52"/>
      <c r="E103" s="52"/>
      <c r="F103" s="52"/>
      <c r="G103" s="52"/>
      <c r="H103" s="52"/>
      <c r="I103" s="52"/>
      <c r="J103" s="52"/>
      <c r="K103" s="181"/>
      <c r="N103" s="205"/>
      <c r="V103" s="90"/>
      <c r="X103" s="265" t="str">
        <f>LEFT(C103,13)</f>
        <v>Cr: Acct 0477</v>
      </c>
      <c r="Y103" s="260"/>
      <c r="Z103" s="263">
        <f>ROUND($K$103,-3)</f>
        <v>0</v>
      </c>
      <c r="AF103" s="261"/>
    </row>
    <row r="104" spans="1:32" ht="16.5" customHeight="1" x14ac:dyDescent="0.2">
      <c r="B104" s="52"/>
      <c r="C104" s="26" t="str">
        <f>IF($F$7="Proprietary","Cr: Acct 0870 - SERVICES &amp; CHARGES (MG ADJ)",VLOOKUP($F$9,'Drop Down Menus'!$F$2:$G$10,2,FALSE))</f>
        <v>Cr: Acct 0XXX - FUNCTIONAL EXPENSE</v>
      </c>
      <c r="D104" s="52"/>
      <c r="E104" s="52"/>
      <c r="F104" s="52"/>
      <c r="G104" s="52"/>
      <c r="H104" s="52"/>
      <c r="I104" s="52"/>
      <c r="J104" s="52"/>
      <c r="K104" s="181"/>
      <c r="N104" s="205"/>
      <c r="V104" s="90"/>
      <c r="X104" s="265" t="str">
        <f>LEFT(C104,13)</f>
        <v>Cr: Acct 0XXX</v>
      </c>
      <c r="Y104" s="260"/>
      <c r="Z104" s="263">
        <f>IF(SUM(ROUND($J$96,-3),ROUND($J$97,-3),ROUND($J$98,-3),ROUND($J$99,-3),ROUND($J$100,-3))=SUM(ROUND($K$101,-3),ROUND($K$102,-3),ROUND($K$103,-3),ROUND($K$104,-3)),ROUND($K$104,-3),IF(SUM(ROUND($K$101,-3),ROUND($K$102,-3),ROUND($K$103,-3),ROUND($K$104,-3))&gt;SUM(ROUND($J$96,-3),ROUND($J$97,-3),ROUND($J$98,-3),ROUND($J$99,-3),ROUND($J$100,-3)),ROUND($K$104,-3),SUM(ROUND($J$96,-3),ROUND($J$97,-3),ROUND($J$98,-3),ROUND($J$99,-3),ROUND($J$100,-3)-SUM(ROUND($K$101,-3),ROUND($K$102,-3),ROUND($K$103,-3)))))</f>
        <v>0</v>
      </c>
      <c r="AF104" s="261"/>
    </row>
    <row r="105" spans="1:32" ht="16.5" customHeight="1" x14ac:dyDescent="0.25">
      <c r="B105" s="167" t="s">
        <v>1682</v>
      </c>
      <c r="H105" s="37"/>
      <c r="J105" s="143">
        <f>SUM(J96:J104)</f>
        <v>0</v>
      </c>
      <c r="K105" s="143">
        <f>SUM(K96:K104)</f>
        <v>0</v>
      </c>
      <c r="L105" s="52" t="str">
        <f>IF(J105=K105,"&lt;- Debits and Credits equal each other.","&lt;- Debits and Credits do not equal each other.")</f>
        <v>&lt;- Debits and Credits equal each other.</v>
      </c>
      <c r="V105" s="90"/>
      <c r="Y105" s="317">
        <f>ROUND(SUM(Y96:Y100),2)</f>
        <v>0</v>
      </c>
      <c r="Z105" s="317">
        <f>ROUND(SUM(Z101:Z104),2)</f>
        <v>0</v>
      </c>
      <c r="AA105" s="394" t="str">
        <f>IF(Y105=Z105,"&lt;- Debits and Credits equal each other.","&lt;- Debits and Credits do not equal each other.")</f>
        <v>&lt;- Debits and Credits equal each other.</v>
      </c>
      <c r="AB105" s="394"/>
      <c r="AC105" s="394"/>
      <c r="AD105" s="394"/>
      <c r="AE105" s="394"/>
      <c r="AF105" s="261"/>
    </row>
    <row r="106" spans="1:32" ht="16.5" customHeight="1" x14ac:dyDescent="0.25">
      <c r="B106" s="217" t="s">
        <v>1688</v>
      </c>
      <c r="H106" s="37"/>
      <c r="J106" s="143"/>
      <c r="K106" s="143"/>
      <c r="L106" s="21"/>
      <c r="V106" s="90"/>
      <c r="AF106" s="261"/>
    </row>
    <row r="107" spans="1:32" ht="16.5" customHeight="1" x14ac:dyDescent="0.25">
      <c r="H107" s="37"/>
      <c r="V107" s="90"/>
      <c r="AF107" s="261"/>
    </row>
    <row r="108" spans="1:32" ht="16.5" customHeight="1" x14ac:dyDescent="0.25">
      <c r="H108" s="37"/>
      <c r="M108" s="205"/>
      <c r="N108" s="205"/>
      <c r="V108" s="90"/>
      <c r="AF108" s="261"/>
    </row>
    <row r="109" spans="1:32" s="173" customFormat="1" ht="16.5" customHeight="1" x14ac:dyDescent="0.3">
      <c r="A109" s="169">
        <v>10</v>
      </c>
      <c r="B109" s="199" t="s">
        <v>1878</v>
      </c>
      <c r="C109" s="174"/>
      <c r="D109" s="174"/>
      <c r="V109" s="245">
        <f>A109</f>
        <v>10</v>
      </c>
      <c r="W109" s="270" t="str">
        <f>B109</f>
        <v xml:space="preserve">Record lease modifications that increase the RTU leased asset. </v>
      </c>
      <c r="AF109" s="277"/>
    </row>
    <row r="110" spans="1:32" ht="16.5" customHeight="1" x14ac:dyDescent="0.2">
      <c r="A110" s="210" t="s">
        <v>1679</v>
      </c>
      <c r="B110" s="26" t="s">
        <v>178</v>
      </c>
      <c r="C110" s="26"/>
      <c r="D110" s="20"/>
      <c r="E110" s="52"/>
      <c r="F110" s="52"/>
      <c r="G110" s="52"/>
      <c r="H110" s="52"/>
      <c r="I110" s="52"/>
      <c r="J110" s="181"/>
      <c r="K110" s="52"/>
      <c r="M110" s="205"/>
      <c r="V110" s="90"/>
      <c r="W110" s="398" t="str">
        <f>LEFT(B110,13)</f>
        <v>Dr: Acct 0476</v>
      </c>
      <c r="X110" s="398"/>
      <c r="Y110" s="263">
        <f>ROUND($J$110,-3)</f>
        <v>0</v>
      </c>
      <c r="AF110" s="261"/>
    </row>
    <row r="111" spans="1:32" ht="16.5" customHeight="1" x14ac:dyDescent="0.2">
      <c r="A111" s="210" t="s">
        <v>1679</v>
      </c>
      <c r="B111" s="26" t="s">
        <v>179</v>
      </c>
      <c r="C111" s="26"/>
      <c r="D111" s="20"/>
      <c r="E111" s="52"/>
      <c r="F111" s="52"/>
      <c r="G111" s="52"/>
      <c r="H111" s="52"/>
      <c r="I111" s="52"/>
      <c r="J111" s="181"/>
      <c r="K111" s="52"/>
      <c r="M111" s="205"/>
      <c r="V111" s="90"/>
      <c r="W111" s="398" t="str">
        <f>LEFT(B111,13)</f>
        <v>Dr: Acct 0478</v>
      </c>
      <c r="X111" s="398"/>
      <c r="Y111" s="263">
        <f>ROUND($J$111,-3)</f>
        <v>0</v>
      </c>
      <c r="AF111" s="261"/>
    </row>
    <row r="112" spans="1:32" ht="16.5" customHeight="1" x14ac:dyDescent="0.2">
      <c r="A112" s="210" t="s">
        <v>1679</v>
      </c>
      <c r="B112" s="26" t="s">
        <v>180</v>
      </c>
      <c r="C112" s="26"/>
      <c r="D112" s="20"/>
      <c r="E112" s="52"/>
      <c r="F112" s="52"/>
      <c r="G112" s="52"/>
      <c r="H112" s="52"/>
      <c r="I112" s="52"/>
      <c r="J112" s="181"/>
      <c r="K112" s="52"/>
      <c r="M112" s="205"/>
      <c r="V112" s="90"/>
      <c r="W112" s="398" t="str">
        <f>LEFT(B112,13)</f>
        <v>Dr: Acct 0477</v>
      </c>
      <c r="X112" s="398"/>
      <c r="Y112" s="263">
        <f>ROUND($J$112,-3)</f>
        <v>0</v>
      </c>
      <c r="AF112" s="261"/>
    </row>
    <row r="113" spans="1:32" ht="16.5" customHeight="1" x14ac:dyDescent="0.25">
      <c r="A113" s="210"/>
      <c r="B113" s="301" t="str">
        <f>IF($F$7="Proprietary","Dr: Acct 0870 - SERVICES &amp; CHARGES (MG ADJ)",VLOOKUP($F$9,'Drop Down Menus'!$F$2:$H$10,3,FALSE))</f>
        <v>Dr: Acct 0XXX - FUNCTIONAL EXPENSE</v>
      </c>
      <c r="C113" s="26"/>
      <c r="D113" s="20"/>
      <c r="E113" s="52"/>
      <c r="F113" s="52"/>
      <c r="G113" s="52"/>
      <c r="H113" s="302" t="s">
        <v>1793</v>
      </c>
      <c r="J113" s="181"/>
      <c r="K113" s="52"/>
      <c r="M113" s="205"/>
      <c r="V113" s="90"/>
      <c r="W113" s="398" t="str">
        <f>LEFT(B113,13)</f>
        <v>Dr: Acct 0XXX</v>
      </c>
      <c r="X113" s="398"/>
      <c r="Y113" s="263">
        <f>IF(SUM(ROUND($J$110,-3),ROUND($J$111,-3),ROUND($J$112,-3),ROUND($J$113,-3))=SUM(ROUND($K$114,-3),ROUND($K$115,-3),ROUND($K$116,-3),ROUND($K$117,-3),ROUND($K$118,-3)),
ROUND($J$113,-3),
IF(SUM(ROUND($J$110,-3),ROUND($J$111,-3),ROUND($J$112,-3),ROUND($J$113,-3))&gt;SUM(ROUND($K$114,-3),ROUND($K$115,-3),ROUND($K$116,-3),ROUND($K$117,-3),ROUND($K$118,-3)),
ROUND($J$113,-3),
SUM(ROUND($K$114,-3),ROUND($K$115,-3),ROUND($K$116,-3),ROUND($K$117,-3),ROUND($K$118,-3)-SUM(ROUND($J$110,-3),ROUND($J$111,-3),ROUND($J$112,-3)))))</f>
        <v>0</v>
      </c>
      <c r="AF113" s="261"/>
    </row>
    <row r="114" spans="1:32" ht="16.5" customHeight="1" x14ac:dyDescent="0.2">
      <c r="A114" s="216" t="s">
        <v>1687</v>
      </c>
      <c r="B114" s="26"/>
      <c r="C114" s="26" t="s">
        <v>181</v>
      </c>
      <c r="D114" s="20"/>
      <c r="E114" s="52"/>
      <c r="F114" s="52"/>
      <c r="G114" s="52"/>
      <c r="H114" s="52"/>
      <c r="I114" s="52"/>
      <c r="J114" s="52"/>
      <c r="K114" s="181"/>
      <c r="N114" s="205"/>
      <c r="V114" s="90"/>
      <c r="X114" s="265" t="str">
        <f>LEFT(C114,13)</f>
        <v>Cr: Acct 0691</v>
      </c>
      <c r="Y114" s="260"/>
      <c r="Z114" s="263">
        <f>ROUND($K$114,-3)</f>
        <v>0</v>
      </c>
      <c r="AF114" s="261"/>
    </row>
    <row r="115" spans="1:32" ht="16.5" customHeight="1" x14ac:dyDescent="0.25">
      <c r="A115" s="216"/>
      <c r="B115" s="26"/>
      <c r="C115" s="301" t="s">
        <v>1791</v>
      </c>
      <c r="D115" s="20"/>
      <c r="E115" s="52"/>
      <c r="F115" s="52"/>
      <c r="G115" s="52"/>
      <c r="H115" s="52"/>
      <c r="I115" s="52"/>
      <c r="J115" s="302" t="s">
        <v>1793</v>
      </c>
      <c r="K115" s="181"/>
      <c r="N115" s="205"/>
      <c r="V115" s="90"/>
      <c r="X115" s="265" t="str">
        <f>LEFT(C115,13)</f>
        <v>Cr: Acct 0485</v>
      </c>
      <c r="Y115" s="260"/>
      <c r="Z115" s="263">
        <f>ROUND($K$115,-3)</f>
        <v>0</v>
      </c>
      <c r="AF115" s="261"/>
    </row>
    <row r="116" spans="1:32" ht="16.5" customHeight="1" x14ac:dyDescent="0.25">
      <c r="A116" s="216"/>
      <c r="B116" s="26"/>
      <c r="C116" s="301" t="s">
        <v>1792</v>
      </c>
      <c r="D116" s="20"/>
      <c r="E116" s="52"/>
      <c r="F116" s="52"/>
      <c r="G116" s="52"/>
      <c r="H116" s="52"/>
      <c r="I116" s="52"/>
      <c r="J116" s="302" t="s">
        <v>1793</v>
      </c>
      <c r="K116" s="181"/>
      <c r="N116" s="205"/>
      <c r="V116" s="90"/>
      <c r="X116" s="265" t="str">
        <f>LEFT(C116,13)</f>
        <v>Cr: Acct 0479</v>
      </c>
      <c r="Y116" s="260"/>
      <c r="Z116" s="263">
        <f>ROUND($K$116,-3)</f>
        <v>0</v>
      </c>
      <c r="AF116" s="261"/>
    </row>
    <row r="117" spans="1:32" ht="16.5" customHeight="1" x14ac:dyDescent="0.25">
      <c r="A117" s="216"/>
      <c r="B117" s="26"/>
      <c r="C117" s="301" t="s">
        <v>186</v>
      </c>
      <c r="D117" s="20"/>
      <c r="E117" s="52"/>
      <c r="F117" s="52"/>
      <c r="G117" s="52"/>
      <c r="H117" s="52"/>
      <c r="I117" s="52"/>
      <c r="J117" s="302" t="s">
        <v>1793</v>
      </c>
      <c r="K117" s="181"/>
      <c r="N117" s="205"/>
      <c r="V117" s="90"/>
      <c r="X117" s="265" t="str">
        <f>LEFT(C117,13)</f>
        <v>Cr: Acct 0486</v>
      </c>
      <c r="Y117" s="260"/>
      <c r="Z117" s="263">
        <f>ROUND($K$117,-3)</f>
        <v>0</v>
      </c>
      <c r="AF117" s="261"/>
    </row>
    <row r="118" spans="1:32" ht="16.5" customHeight="1" x14ac:dyDescent="0.25">
      <c r="A118" s="216"/>
      <c r="B118" s="26"/>
      <c r="C118" s="301" t="str">
        <f>IF($F$7="Proprietary","Cr: Acct 0870 - SERVICES &amp; CHARGES (MG ADJ)",VLOOKUP($F$9,'Drop Down Menus'!$F$2:$G$10,2,FALSE))</f>
        <v>Cr: Acct 0XXX - FUNCTIONAL EXPENSE</v>
      </c>
      <c r="D118" s="20"/>
      <c r="E118" s="52"/>
      <c r="F118" s="52"/>
      <c r="G118" s="52"/>
      <c r="H118" s="52"/>
      <c r="I118" s="52"/>
      <c r="J118" s="302" t="s">
        <v>1793</v>
      </c>
      <c r="K118" s="181"/>
      <c r="N118" s="205"/>
      <c r="V118" s="90"/>
      <c r="X118" s="265" t="str">
        <f>LEFT(C118,13)</f>
        <v>Cr: Acct 0XXX</v>
      </c>
      <c r="Y118" s="260"/>
      <c r="Z118" s="263">
        <f>IF(SUM(ROUND($J$110,-3),ROUND($J$111,-3),ROUND($J$112,-3),ROUND($J$113,-3))=SUM(ROUND($K$114,-3),ROUND($K$115,-3),ROUND($K$116,-3),ROUND($K$117,-3),ROUND($K$118,-3)),
ROUND($K$118,-3),
IF(SUM(ROUND($K$114,-3),ROUND($K$115,-3),ROUND($K$116,-3),ROUND($K$117,-3),ROUND($K$118,-3))&gt;SUM(ROUND($J$110,-3),ROUND($J$111,-3),ROUND($J$112,-3),ROUND($J$113,-3)),
ROUND($K$118,-3),
SUM(ROUND($J$110,-3),ROUND($J$111,-3),ROUND($J$112,-3),ROUND($J$113,-3)-SUM(ROUND($K$114,-3),ROUND($K$115,-3),ROUND($K$116,-3),ROUND($K$117,-3)))))</f>
        <v>0</v>
      </c>
      <c r="AF118" s="261"/>
    </row>
    <row r="119" spans="1:32" ht="16.5" customHeight="1" x14ac:dyDescent="0.25">
      <c r="A119" s="15"/>
      <c r="B119" s="167" t="s">
        <v>1681</v>
      </c>
      <c r="C119" s="151"/>
      <c r="D119" s="151"/>
      <c r="H119" s="37"/>
      <c r="J119" s="143">
        <f>SUM(J110:J113)</f>
        <v>0</v>
      </c>
      <c r="K119" s="143">
        <f>SUM(K114:K118)</f>
        <v>0</v>
      </c>
      <c r="L119" s="52" t="str">
        <f>IF(J119=K119,"&lt;- Debits and Credits equal each other.","&lt;- Debits and Credits do not equal each other.")</f>
        <v>&lt;- Debits and Credits equal each other.</v>
      </c>
      <c r="V119" s="90"/>
      <c r="Y119" s="317">
        <f>ROUND(SUM(Y110:Y113),2)</f>
        <v>0</v>
      </c>
      <c r="Z119" s="317">
        <f>ROUND(SUM(Z114:Z118),2)</f>
        <v>0</v>
      </c>
      <c r="AA119" s="394" t="str">
        <f>IF(Y119=Z119,"&lt;- Debits and Credits equal each other.","&lt;- Debits and Credits do not equal each other.")</f>
        <v>&lt;- Debits and Credits equal each other.</v>
      </c>
      <c r="AB119" s="394"/>
      <c r="AC119" s="394"/>
      <c r="AD119" s="394"/>
      <c r="AE119" s="394"/>
      <c r="AF119" s="261"/>
    </row>
    <row r="120" spans="1:32" ht="16.5" customHeight="1" x14ac:dyDescent="0.25">
      <c r="A120" s="15"/>
      <c r="B120" s="217" t="s">
        <v>1690</v>
      </c>
      <c r="C120" s="151"/>
      <c r="D120" s="151"/>
      <c r="H120" s="37"/>
      <c r="J120" s="143"/>
      <c r="K120" s="143"/>
      <c r="L120" s="21"/>
      <c r="V120" s="90"/>
      <c r="AF120" s="261"/>
    </row>
    <row r="121" spans="1:32" ht="16.5" customHeight="1" x14ac:dyDescent="0.25">
      <c r="H121" s="37"/>
      <c r="M121" s="205"/>
      <c r="N121" s="205"/>
      <c r="V121" s="90"/>
      <c r="AF121" s="261"/>
    </row>
    <row r="122" spans="1:32" ht="16.5" customHeight="1" x14ac:dyDescent="0.25">
      <c r="B122" s="390" t="s">
        <v>1883</v>
      </c>
      <c r="C122" s="390"/>
      <c r="D122" s="390"/>
      <c r="E122" s="390"/>
      <c r="F122" s="390"/>
      <c r="G122" s="390"/>
      <c r="H122" s="390"/>
      <c r="I122" s="390"/>
      <c r="V122" s="90"/>
      <c r="AF122" s="261"/>
    </row>
    <row r="123" spans="1:32" ht="16.5" customHeight="1" x14ac:dyDescent="0.25">
      <c r="B123" s="390"/>
      <c r="C123" s="390"/>
      <c r="D123" s="390"/>
      <c r="E123" s="390"/>
      <c r="F123" s="390"/>
      <c r="G123" s="390"/>
      <c r="H123" s="390"/>
      <c r="I123" s="390"/>
      <c r="V123" s="90"/>
      <c r="AF123" s="261"/>
    </row>
    <row r="124" spans="1:32" ht="16.5" customHeight="1" x14ac:dyDescent="0.25">
      <c r="H124" s="37"/>
      <c r="V124" s="90"/>
      <c r="AF124" s="261"/>
    </row>
    <row r="125" spans="1:32" ht="20.25" x14ac:dyDescent="0.3">
      <c r="D125" s="211" t="s">
        <v>1701</v>
      </c>
      <c r="E125" s="212"/>
      <c r="F125" s="213"/>
      <c r="G125" s="213"/>
      <c r="H125" s="213"/>
      <c r="I125" s="214"/>
      <c r="J125" s="214"/>
      <c r="K125" s="215"/>
      <c r="V125" s="90"/>
      <c r="Y125" s="280" t="s">
        <v>1790</v>
      </c>
      <c r="Z125" s="278"/>
      <c r="AA125" s="278"/>
      <c r="AB125" s="279"/>
      <c r="AF125" s="261"/>
    </row>
    <row r="126" spans="1:32" ht="16.5" customHeight="1" x14ac:dyDescent="0.25">
      <c r="H126" s="37"/>
      <c r="K126" s="221" t="s">
        <v>1700</v>
      </c>
      <c r="V126" s="90"/>
      <c r="Z126" s="221" t="str">
        <f>K126</f>
        <v>Debit (Credit)</v>
      </c>
      <c r="AF126" s="261"/>
    </row>
    <row r="127" spans="1:32" ht="16.5" customHeight="1" x14ac:dyDescent="0.25">
      <c r="D127" s="178" t="s">
        <v>1692</v>
      </c>
      <c r="H127" s="37"/>
      <c r="K127" s="220">
        <f>J15+J39-K88-K101+J110</f>
        <v>0</v>
      </c>
      <c r="L127" s="37" t="str">
        <f>IF($K$127&gt;=0,"","&lt;- should be a positive amount")</f>
        <v/>
      </c>
      <c r="V127" s="90"/>
      <c r="Y127" s="295" t="str">
        <f>LEFT(D127,10)</f>
        <v xml:space="preserve">Acct 0476 </v>
      </c>
      <c r="Z127" s="220">
        <f>Y15+Y39-Z88-Z101+Y110</f>
        <v>0</v>
      </c>
      <c r="AA127" s="380" t="str">
        <f>IF($Z$127&gt;=0,"","&lt;- please check, should be a positive amount")</f>
        <v/>
      </c>
      <c r="AF127" s="261"/>
    </row>
    <row r="128" spans="1:32" ht="16.5" customHeight="1" x14ac:dyDescent="0.25">
      <c r="D128" s="178" t="s">
        <v>1693</v>
      </c>
      <c r="H128" s="37"/>
      <c r="K128" s="220">
        <f>J16+J40-K89-K102+J111</f>
        <v>0</v>
      </c>
      <c r="L128" s="37" t="str">
        <f>IF($K$128&gt;=0,"","&lt;- should be a positive amount")</f>
        <v/>
      </c>
      <c r="V128" s="90"/>
      <c r="Y128" s="295" t="str">
        <f t="shared" ref="Y128:Y134" si="4">LEFT(D128,10)</f>
        <v xml:space="preserve">Acct 0478 </v>
      </c>
      <c r="Z128" s="220">
        <f>Y16+Y40-Z89-Z102+Y111</f>
        <v>0</v>
      </c>
      <c r="AA128" s="380" t="str">
        <f>IF($Z$128&gt;=0,"","&lt;- please check, should be a positive amount")</f>
        <v/>
      </c>
      <c r="AF128" s="261"/>
    </row>
    <row r="129" spans="4:32" ht="16.5" customHeight="1" x14ac:dyDescent="0.25">
      <c r="D129" s="178" t="s">
        <v>1694</v>
      </c>
      <c r="H129" s="37"/>
      <c r="K129" s="220">
        <f>J17+J41-K90-K103+J112</f>
        <v>0</v>
      </c>
      <c r="L129" s="37" t="str">
        <f>IF($K$128&gt;=0,"","&lt;- should be a positive amount")</f>
        <v/>
      </c>
      <c r="V129" s="90"/>
      <c r="Y129" s="295" t="str">
        <f t="shared" si="4"/>
        <v xml:space="preserve">Acct 0477 </v>
      </c>
      <c r="Z129" s="220">
        <f>Y17+Y41-Z90-Z103+Y112</f>
        <v>0</v>
      </c>
      <c r="AA129" s="380" t="str">
        <f>IF($Z$129&gt;=0,"","&lt;- please check, should be a positive amount")</f>
        <v/>
      </c>
      <c r="AF129" s="261"/>
    </row>
    <row r="130" spans="4:32" ht="16.5" customHeight="1" x14ac:dyDescent="0.25">
      <c r="D130" s="178" t="s">
        <v>1695</v>
      </c>
      <c r="H130" s="37"/>
      <c r="K130" s="220">
        <f>-K20-K56+J85+J97-K115</f>
        <v>0</v>
      </c>
      <c r="L130" s="37" t="str">
        <f>IF($K$130&gt;0,"&lt;- should be a negative amount",IF($K$130=0,"",IF(-$K$127&lt;=$K$130,"","&lt;- accumulated amortization total cannot be more than the RTU Leased Land")))</f>
        <v/>
      </c>
      <c r="V130" s="90"/>
      <c r="Y130" s="295" t="str">
        <f t="shared" si="4"/>
        <v xml:space="preserve">Acct 0485 </v>
      </c>
      <c r="Z130" s="220">
        <f>-Z20-Z56+Y85+Y97-Z115</f>
        <v>0</v>
      </c>
      <c r="AA130" s="381" t="str">
        <f>IF($Z$130&gt;0,"&lt;- please check, should be a negative amount",IF(-$Z$127&lt;=$Z$130,"","&lt;- please check, cannot exceed the RTU Leased Land (Acct 0476)"))</f>
        <v/>
      </c>
      <c r="AF130" s="261"/>
    </row>
    <row r="131" spans="4:32" ht="16.5" customHeight="1" x14ac:dyDescent="0.25">
      <c r="D131" s="178" t="s">
        <v>1696</v>
      </c>
      <c r="H131" s="37"/>
      <c r="K131" s="220">
        <f>-K21-K57+J86+J98-K116</f>
        <v>0</v>
      </c>
      <c r="L131" s="37" t="str">
        <f>IF($K$131&gt;0,"&lt;- should be a negative amount",IF($K$131=0,"",IF(-$K$128&lt;=$K$131,"","&lt;- accumulated amortization total cannot be more than the RTU Leased Equipment")))</f>
        <v/>
      </c>
      <c r="V131" s="90"/>
      <c r="Y131" s="295" t="str">
        <f t="shared" si="4"/>
        <v xml:space="preserve">Acct 0479 </v>
      </c>
      <c r="Z131" s="220">
        <f>-Z21-Z57+Y86+Y98-Z116</f>
        <v>0</v>
      </c>
      <c r="AA131" s="381" t="str">
        <f>IF($Z$131&gt;0,"&lt;- please check, should be a negative amount",IF(-$Z$128&lt;=$Z$131,"","&lt;- please check, cannot exceed the RTU Leased Equipment (Acct 0478)"))</f>
        <v/>
      </c>
      <c r="AF131" s="261"/>
    </row>
    <row r="132" spans="4:32" ht="16.5" customHeight="1" x14ac:dyDescent="0.25">
      <c r="D132" s="178" t="s">
        <v>1697</v>
      </c>
      <c r="H132" s="37"/>
      <c r="K132" s="220">
        <f>-K22-K58+J87+J99-K117</f>
        <v>0</v>
      </c>
      <c r="L132" s="37" t="str">
        <f>IF($K$132&gt;0,"&lt;- should be a negative amount",IF($K$132=0,"",IF(-$K$129&lt;=$K$132,"","&lt;- accumulated amortization total cannot be more than the RTU Leased Buildings")))</f>
        <v/>
      </c>
      <c r="V132" s="90"/>
      <c r="Y132" s="295" t="str">
        <f t="shared" si="4"/>
        <v xml:space="preserve">Acct 0486 </v>
      </c>
      <c r="Z132" s="220">
        <f>-Z22-Z58+Y87+Y99-Z117</f>
        <v>0</v>
      </c>
      <c r="AA132" s="381" t="str">
        <f>IF($Z$132&gt;0,"&lt;- please check, should be a negative amount",IF(-$Z$129&lt;=$Z$132,"","&lt;- please check, cannot exceed the RTU Leased Buildings (Acct 0477)"))</f>
        <v/>
      </c>
      <c r="AF132" s="261"/>
    </row>
    <row r="133" spans="4:32" ht="16.5" customHeight="1" x14ac:dyDescent="0.25">
      <c r="D133" s="178" t="s">
        <v>1698</v>
      </c>
      <c r="H133" s="37"/>
      <c r="K133" s="220">
        <f>-K23-K48+J68+J75+J96-K114</f>
        <v>0</v>
      </c>
      <c r="L133" s="37" t="str">
        <f>IF($K$133&lt;=0,"","&lt;- should be a negative amount")</f>
        <v/>
      </c>
      <c r="V133" s="90"/>
      <c r="Y133" s="295" t="str">
        <f t="shared" si="4"/>
        <v xml:space="preserve">Acct 0691 </v>
      </c>
      <c r="Z133" s="220">
        <f>-Z23-Z48+Y68+Y75+Y96-Z114</f>
        <v>0</v>
      </c>
      <c r="AA133" s="381" t="str">
        <f>IF($Z$133&lt;=0,"","&lt;- please check, should be a negative amount")</f>
        <v/>
      </c>
      <c r="AF133" s="261"/>
    </row>
    <row r="134" spans="4:32" ht="16.5" customHeight="1" x14ac:dyDescent="0.25">
      <c r="D134" s="178" t="s">
        <v>1699</v>
      </c>
      <c r="H134" s="37"/>
      <c r="K134" s="220">
        <f>-K76</f>
        <v>0</v>
      </c>
      <c r="L134" s="37" t="str">
        <f>IF($K$134&lt;=0,"","&lt;- should be a negative amount")</f>
        <v/>
      </c>
      <c r="V134" s="90"/>
      <c r="Y134" s="295" t="str">
        <f t="shared" si="4"/>
        <v xml:space="preserve">Acct 0649 </v>
      </c>
      <c r="Z134" s="220">
        <f>-Z76</f>
        <v>0</v>
      </c>
      <c r="AA134" s="381" t="str">
        <f>IF($Z$134&lt;=0,"","&lt;- please check, should be a negative amount")</f>
        <v/>
      </c>
      <c r="AF134" s="261"/>
    </row>
    <row r="135" spans="4:32" ht="16.5" customHeight="1" x14ac:dyDescent="0.25">
      <c r="H135" s="37"/>
      <c r="V135" s="90"/>
      <c r="AF135" s="261"/>
    </row>
    <row r="136" spans="4:32" ht="16.5" customHeight="1" x14ac:dyDescent="0.25">
      <c r="H136" s="37"/>
      <c r="V136" s="296"/>
      <c r="W136" s="297"/>
      <c r="X136" s="297"/>
      <c r="Y136" s="297"/>
      <c r="Z136" s="297"/>
      <c r="AA136" s="297"/>
      <c r="AB136" s="297"/>
      <c r="AC136" s="297"/>
      <c r="AD136" s="297"/>
      <c r="AE136" s="297"/>
      <c r="AF136" s="298"/>
    </row>
    <row r="137" spans="4:32" x14ac:dyDescent="0.25">
      <c r="H137" s="37"/>
    </row>
    <row r="138" spans="4:32" ht="16.5" customHeight="1" x14ac:dyDescent="0.25">
      <c r="H138" s="37"/>
    </row>
    <row r="139" spans="4:32" ht="16.5" customHeight="1" x14ac:dyDescent="0.25">
      <c r="H139" s="37"/>
    </row>
    <row r="140" spans="4:32" ht="16.5" customHeight="1" x14ac:dyDescent="0.25">
      <c r="H140" s="37"/>
    </row>
    <row r="141" spans="4:32" ht="16.5" customHeight="1" x14ac:dyDescent="0.25">
      <c r="H141" s="37"/>
    </row>
    <row r="142" spans="4:32" ht="16.5" customHeight="1" x14ac:dyDescent="0.25">
      <c r="H142" s="37"/>
    </row>
    <row r="143" spans="4:32" s="52" customFormat="1" ht="16.5" customHeight="1" x14ac:dyDescent="0.25"/>
    <row r="144" spans="4:32" ht="16.5" customHeight="1" x14ac:dyDescent="0.25">
      <c r="H144" s="37"/>
    </row>
    <row r="145" spans="8:8" ht="16.5" customHeight="1" x14ac:dyDescent="0.25">
      <c r="H145" s="37"/>
    </row>
    <row r="146" spans="8:8" x14ac:dyDescent="0.25">
      <c r="H146" s="37"/>
    </row>
    <row r="147" spans="8:8" ht="16.5" customHeight="1" x14ac:dyDescent="0.25">
      <c r="H147" s="37"/>
    </row>
    <row r="148" spans="8:8" ht="16.5" customHeight="1" x14ac:dyDescent="0.25">
      <c r="H148" s="37"/>
    </row>
    <row r="149" spans="8:8" ht="16.5" customHeight="1" x14ac:dyDescent="0.25">
      <c r="H149" s="37"/>
    </row>
    <row r="150" spans="8:8" ht="16.5" customHeight="1" x14ac:dyDescent="0.25">
      <c r="H150" s="37"/>
    </row>
    <row r="151" spans="8:8" ht="16.5" customHeight="1" x14ac:dyDescent="0.25">
      <c r="H151" s="37"/>
    </row>
    <row r="152" spans="8:8" ht="16.5" customHeight="1" x14ac:dyDescent="0.25">
      <c r="H152" s="37"/>
    </row>
    <row r="153" spans="8:8" ht="16.5" customHeight="1" x14ac:dyDescent="0.25">
      <c r="H153" s="37"/>
    </row>
    <row r="154" spans="8:8" ht="16.5" customHeight="1" x14ac:dyDescent="0.25">
      <c r="H154" s="37"/>
    </row>
    <row r="155" spans="8:8" ht="16.5" customHeight="1" x14ac:dyDescent="0.25">
      <c r="H155" s="37"/>
    </row>
    <row r="156" spans="8:8" ht="16.5" customHeight="1" x14ac:dyDescent="0.25">
      <c r="H156" s="37"/>
    </row>
    <row r="157" spans="8:8" ht="16.5" customHeight="1" x14ac:dyDescent="0.25">
      <c r="H157" s="37"/>
    </row>
    <row r="158" spans="8:8" ht="16.5" customHeight="1" x14ac:dyDescent="0.25">
      <c r="H158" s="37"/>
    </row>
    <row r="159" spans="8:8" ht="16.5" customHeight="1" x14ac:dyDescent="0.25">
      <c r="H159" s="37"/>
    </row>
    <row r="160" spans="8:8" ht="16.5" customHeight="1" x14ac:dyDescent="0.25">
      <c r="H160" s="37"/>
    </row>
    <row r="161" spans="8:8" ht="16.5" customHeight="1" x14ac:dyDescent="0.25">
      <c r="H161" s="37"/>
    </row>
    <row r="162" spans="8:8" ht="16.5" customHeight="1" x14ac:dyDescent="0.25">
      <c r="H162" s="37"/>
    </row>
    <row r="163" spans="8:8" ht="16.5" customHeight="1" x14ac:dyDescent="0.25">
      <c r="H163" s="37"/>
    </row>
    <row r="164" spans="8:8" ht="16.5" customHeight="1" x14ac:dyDescent="0.25">
      <c r="H164" s="37"/>
    </row>
    <row r="165" spans="8:8" ht="16.5" customHeight="1" x14ac:dyDescent="0.25">
      <c r="H165" s="37"/>
    </row>
    <row r="166" spans="8:8" ht="16.5" customHeight="1" x14ac:dyDescent="0.25">
      <c r="H166" s="37"/>
    </row>
    <row r="167" spans="8:8" ht="16.5" customHeight="1" x14ac:dyDescent="0.25">
      <c r="H167" s="37"/>
    </row>
    <row r="168" spans="8:8" ht="16.5" customHeight="1" x14ac:dyDescent="0.25">
      <c r="H168" s="37"/>
    </row>
    <row r="169" spans="8:8" ht="16.5" customHeight="1" x14ac:dyDescent="0.25">
      <c r="H169" s="37"/>
    </row>
    <row r="170" spans="8:8" ht="16.5" customHeight="1" x14ac:dyDescent="0.25">
      <c r="H170" s="37"/>
    </row>
    <row r="171" spans="8:8" ht="16.5" customHeight="1" x14ac:dyDescent="0.25">
      <c r="H171" s="37"/>
    </row>
    <row r="172" spans="8:8" ht="16.5" customHeight="1" x14ac:dyDescent="0.25">
      <c r="H172" s="37"/>
    </row>
    <row r="173" spans="8:8" x14ac:dyDescent="0.25">
      <c r="H173" s="37"/>
    </row>
    <row r="174" spans="8:8" ht="16.5" customHeight="1" x14ac:dyDescent="0.25">
      <c r="H174" s="37"/>
    </row>
    <row r="175" spans="8:8" ht="16.5" customHeight="1" x14ac:dyDescent="0.25">
      <c r="H175" s="37"/>
    </row>
    <row r="176" spans="8:8" ht="16.5" customHeight="1" x14ac:dyDescent="0.25">
      <c r="H176" s="37"/>
    </row>
    <row r="177" spans="8:8" s="52" customFormat="1" ht="16.5" customHeight="1" x14ac:dyDescent="0.25"/>
    <row r="178" spans="8:8" ht="16.5" customHeight="1" x14ac:dyDescent="0.25">
      <c r="H178" s="37"/>
    </row>
    <row r="179" spans="8:8" ht="16.5" customHeight="1" x14ac:dyDescent="0.25">
      <c r="H179" s="37"/>
    </row>
    <row r="180" spans="8:8" x14ac:dyDescent="0.25">
      <c r="H180" s="37"/>
    </row>
    <row r="181" spans="8:8" ht="16.5" customHeight="1" x14ac:dyDescent="0.25">
      <c r="H181" s="37"/>
    </row>
    <row r="182" spans="8:8" ht="16.5" customHeight="1" x14ac:dyDescent="0.25">
      <c r="H182" s="37"/>
    </row>
    <row r="183" spans="8:8" ht="16.5" customHeight="1" x14ac:dyDescent="0.25">
      <c r="H183" s="37"/>
    </row>
    <row r="184" spans="8:8" ht="16.5" customHeight="1" x14ac:dyDescent="0.25">
      <c r="H184" s="37"/>
    </row>
    <row r="185" spans="8:8" ht="16.5" customHeight="1" x14ac:dyDescent="0.25">
      <c r="H185" s="37"/>
    </row>
    <row r="186" spans="8:8" ht="16.5" customHeight="1" x14ac:dyDescent="0.25">
      <c r="H186" s="37"/>
    </row>
    <row r="187" spans="8:8" s="52" customFormat="1" ht="16.5" customHeight="1" x14ac:dyDescent="0.25"/>
    <row r="188" spans="8:8" ht="16.5" customHeight="1" x14ac:dyDescent="0.25">
      <c r="H188" s="37"/>
    </row>
    <row r="189" spans="8:8" ht="34.5" customHeight="1" x14ac:dyDescent="0.25">
      <c r="H189" s="37"/>
    </row>
    <row r="190" spans="8:8" ht="16.5" customHeight="1" x14ac:dyDescent="0.25">
      <c r="H190" s="37"/>
    </row>
    <row r="191" spans="8:8" ht="16.5" customHeight="1" x14ac:dyDescent="0.25">
      <c r="H191" s="37"/>
    </row>
    <row r="192" spans="8:8" ht="16.5" customHeight="1" x14ac:dyDescent="0.25">
      <c r="H192" s="37"/>
    </row>
    <row r="193" spans="8:8" ht="16.5" customHeight="1" x14ac:dyDescent="0.25">
      <c r="H193" s="37"/>
    </row>
    <row r="194" spans="8:8" ht="16.5" customHeight="1" x14ac:dyDescent="0.25">
      <c r="H194" s="37"/>
    </row>
    <row r="195" spans="8:8" ht="16.5" customHeight="1" x14ac:dyDescent="0.25">
      <c r="H195" s="37"/>
    </row>
    <row r="196" spans="8:8" ht="16.5" customHeight="1" x14ac:dyDescent="0.25">
      <c r="H196" s="37"/>
    </row>
    <row r="197" spans="8:8" ht="16.5" customHeight="1" x14ac:dyDescent="0.25">
      <c r="H197" s="37"/>
    </row>
    <row r="198" spans="8:8" ht="16.5" customHeight="1" x14ac:dyDescent="0.25">
      <c r="H198" s="37"/>
    </row>
  </sheetData>
  <sheetProtection algorithmName="SHA-512" hashValue="Kv4qRcR4rek2gMGd3Wj1WDI5l6q4egoNpANMYi0/E34cAU7JK2/2ANMpGQ/A0eio6vo68n16yULckjAV0KKj8A==" saltValue="LAk9IwhQz3B192La8MET5w==" spinCount="100000" sheet="1" objects="1" scenarios="1"/>
  <mergeCells count="67">
    <mergeCell ref="W113:X113"/>
    <mergeCell ref="W18:X18"/>
    <mergeCell ref="V10:Z11"/>
    <mergeCell ref="Y14:Z14"/>
    <mergeCell ref="AB14:AC14"/>
    <mergeCell ref="W33:X33"/>
    <mergeCell ref="AA26:AC26"/>
    <mergeCell ref="AA36:AE36"/>
    <mergeCell ref="AA43:AE43"/>
    <mergeCell ref="V31:AF31"/>
    <mergeCell ref="AA33:AC33"/>
    <mergeCell ref="AA34:AC34"/>
    <mergeCell ref="W111:X111"/>
    <mergeCell ref="W112:X112"/>
    <mergeCell ref="W96:X96"/>
    <mergeCell ref="W97:X97"/>
    <mergeCell ref="AE14:AF14"/>
    <mergeCell ref="W15:X15"/>
    <mergeCell ref="W16:X16"/>
    <mergeCell ref="W17:X17"/>
    <mergeCell ref="W19:X19"/>
    <mergeCell ref="W87:X87"/>
    <mergeCell ref="A1:K1"/>
    <mergeCell ref="A3:E3"/>
    <mergeCell ref="A4:E4"/>
    <mergeCell ref="A5:E5"/>
    <mergeCell ref="A9:E9"/>
    <mergeCell ref="F3:I3"/>
    <mergeCell ref="F4:I4"/>
    <mergeCell ref="F5:I5"/>
    <mergeCell ref="F6:I6"/>
    <mergeCell ref="F7:I7"/>
    <mergeCell ref="F8:I8"/>
    <mergeCell ref="F9:I9"/>
    <mergeCell ref="A6:E6"/>
    <mergeCell ref="A7:E7"/>
    <mergeCell ref="A8:E8"/>
    <mergeCell ref="W39:X39"/>
    <mergeCell ref="W63:X63"/>
    <mergeCell ref="W68:X68"/>
    <mergeCell ref="W55:X55"/>
    <mergeCell ref="W62:X62"/>
    <mergeCell ref="W40:X40"/>
    <mergeCell ref="W41:X41"/>
    <mergeCell ref="V53:AF53"/>
    <mergeCell ref="AA49:AE49"/>
    <mergeCell ref="AA119:AE119"/>
    <mergeCell ref="AA59:AE59"/>
    <mergeCell ref="AA65:AE65"/>
    <mergeCell ref="AA70:AE70"/>
    <mergeCell ref="AA77:AE77"/>
    <mergeCell ref="AA105:AE105"/>
    <mergeCell ref="V83:AF83"/>
    <mergeCell ref="V94:AF94"/>
    <mergeCell ref="AA91:AE91"/>
    <mergeCell ref="W75:X75"/>
    <mergeCell ref="W98:X98"/>
    <mergeCell ref="W99:X99"/>
    <mergeCell ref="W100:X100"/>
    <mergeCell ref="W110:X110"/>
    <mergeCell ref="W85:X85"/>
    <mergeCell ref="W86:X86"/>
    <mergeCell ref="B11:J11"/>
    <mergeCell ref="B122:I123"/>
    <mergeCell ref="M14:N14"/>
    <mergeCell ref="P14:Q14"/>
    <mergeCell ref="B77:I79"/>
  </mergeCells>
  <conditionalFormatting sqref="B11">
    <cfRule type="containsText" dxfId="172" priority="21" operator="containsText" text="Answer the Department Note Disclosure">
      <formula>NOT(ISERROR(SEARCH("Answer the Department Note Disclosure",B11)))</formula>
    </cfRule>
  </conditionalFormatting>
  <conditionalFormatting sqref="L62:N62 L69:N69">
    <cfRule type="expression" dxfId="171" priority="92">
      <formula>$J$62&lt;&gt;$K$69</formula>
    </cfRule>
  </conditionalFormatting>
  <conditionalFormatting sqref="L127:O127">
    <cfRule type="expression" dxfId="170" priority="29">
      <formula>$K$127&lt;0</formula>
    </cfRule>
  </conditionalFormatting>
  <conditionalFormatting sqref="L128:O128">
    <cfRule type="expression" dxfId="169" priority="10">
      <formula>$K$128&lt;0</formula>
    </cfRule>
  </conditionalFormatting>
  <conditionalFormatting sqref="L129:O129">
    <cfRule type="expression" dxfId="168" priority="9">
      <formula>$K$129&lt;0</formula>
    </cfRule>
  </conditionalFormatting>
  <conditionalFormatting sqref="L130:O130">
    <cfRule type="expression" dxfId="167" priority="3">
      <formula>$K$130&gt;0</formula>
    </cfRule>
  </conditionalFormatting>
  <conditionalFormatting sqref="L131:O131">
    <cfRule type="expression" dxfId="166" priority="2">
      <formula>$K$131&gt;0</formula>
    </cfRule>
  </conditionalFormatting>
  <conditionalFormatting sqref="L132:O132">
    <cfRule type="expression" dxfId="165" priority="1">
      <formula>$K$132&gt;0</formula>
    </cfRule>
  </conditionalFormatting>
  <conditionalFormatting sqref="L133:O133">
    <cfRule type="expression" dxfId="164" priority="7">
      <formula>$K$133&gt;0</formula>
    </cfRule>
  </conditionalFormatting>
  <conditionalFormatting sqref="L134:O134">
    <cfRule type="expression" dxfId="163" priority="24">
      <formula>$K$134&gt;0</formula>
    </cfRule>
  </conditionalFormatting>
  <conditionalFormatting sqref="L26:P26">
    <cfRule type="expression" dxfId="162" priority="81">
      <formula>$J$26&lt;&gt;$K$26</formula>
    </cfRule>
  </conditionalFormatting>
  <conditionalFormatting sqref="L36:P36">
    <cfRule type="expression" dxfId="161" priority="82">
      <formula>$J$36&lt;&gt;$K$36</formula>
    </cfRule>
  </conditionalFormatting>
  <conditionalFormatting sqref="L43:P43">
    <cfRule type="expression" dxfId="160" priority="83">
      <formula>$J$43&lt;&gt;$K$43</formula>
    </cfRule>
  </conditionalFormatting>
  <conditionalFormatting sqref="L49:P49">
    <cfRule type="expression" dxfId="159" priority="84">
      <formula>$J$49&lt;&gt;$K$49</formula>
    </cfRule>
  </conditionalFormatting>
  <conditionalFormatting sqref="L59:P59">
    <cfRule type="expression" dxfId="158" priority="85">
      <formula>$J$59&lt;&gt;$K$59</formula>
    </cfRule>
  </conditionalFormatting>
  <conditionalFormatting sqref="L65:P65">
    <cfRule type="expression" dxfId="157" priority="86">
      <formula>$J$65&lt;&gt;$K$65</formula>
    </cfRule>
  </conditionalFormatting>
  <conditionalFormatting sqref="L70:P70">
    <cfRule type="expression" dxfId="156" priority="87">
      <formula>$J$70&lt;&gt;$K$70</formula>
    </cfRule>
  </conditionalFormatting>
  <conditionalFormatting sqref="L77:P77">
    <cfRule type="expression" dxfId="155" priority="88">
      <formula>$J$77&lt;&gt;$K$77</formula>
    </cfRule>
  </conditionalFormatting>
  <conditionalFormatting sqref="L91:P91">
    <cfRule type="expression" dxfId="154" priority="89">
      <formula>$J$91&lt;&gt;$K$91</formula>
    </cfRule>
  </conditionalFormatting>
  <conditionalFormatting sqref="L105:P105">
    <cfRule type="expression" dxfId="153" priority="90">
      <formula>$J$105&lt;&gt;$K$105</formula>
    </cfRule>
  </conditionalFormatting>
  <conditionalFormatting sqref="L119:P119">
    <cfRule type="expression" dxfId="152" priority="91">
      <formula>$J$119&lt;&gt;$K$119</formula>
    </cfRule>
  </conditionalFormatting>
  <conditionalFormatting sqref="L130:S130">
    <cfRule type="expression" dxfId="151" priority="6">
      <formula>-$K$127&gt;$K$130</formula>
    </cfRule>
  </conditionalFormatting>
  <conditionalFormatting sqref="L131:S131">
    <cfRule type="expression" dxfId="150" priority="5">
      <formula>-$K$128&gt;$K$131</formula>
    </cfRule>
  </conditionalFormatting>
  <conditionalFormatting sqref="L132:S132">
    <cfRule type="expression" dxfId="149" priority="4">
      <formula>-$K$129&gt;$K$132</formula>
    </cfRule>
  </conditionalFormatting>
  <conditionalFormatting sqref="AA33">
    <cfRule type="containsText" dxfId="148" priority="67" operator="containsText" text="&lt;- Accts 0789 must agree">
      <formula>NOT(ISERROR(SEARCH("&lt;- Accts 0789 must agree",AA33)))</formula>
    </cfRule>
  </conditionalFormatting>
  <conditionalFormatting sqref="AA36">
    <cfRule type="cellIs" dxfId="147" priority="51" operator="equal">
      <formula>"&lt;- Debits and Credits do not equal each other."</formula>
    </cfRule>
  </conditionalFormatting>
  <conditionalFormatting sqref="AA41">
    <cfRule type="containsText" dxfId="146" priority="72" operator="containsText" text="&lt;- Accts 0789 must agree">
      <formula>NOT(ISERROR(SEARCH("&lt;- Accts 0789 must agree",AA41)))</formula>
    </cfRule>
  </conditionalFormatting>
  <conditionalFormatting sqref="AA43">
    <cfRule type="cellIs" dxfId="145" priority="20" operator="equal">
      <formula>"&lt;- Debits and Credits do not equal each other."</formula>
    </cfRule>
  </conditionalFormatting>
  <conditionalFormatting sqref="AA49">
    <cfRule type="cellIs" dxfId="144" priority="19" operator="equal">
      <formula>"&lt;- Debits and Credits do not equal each other."</formula>
    </cfRule>
  </conditionalFormatting>
  <conditionalFormatting sqref="AA59">
    <cfRule type="cellIs" dxfId="143" priority="18" operator="equal">
      <formula>"&lt;- Debits and Credits do not equal each other."</formula>
    </cfRule>
  </conditionalFormatting>
  <conditionalFormatting sqref="AA65">
    <cfRule type="cellIs" dxfId="142" priority="17" operator="equal">
      <formula>"&lt;- Debits and Credits do not equal each other."</formula>
    </cfRule>
  </conditionalFormatting>
  <conditionalFormatting sqref="AA70">
    <cfRule type="cellIs" dxfId="141" priority="16" operator="equal">
      <formula>"&lt;- Debits and Credits do not equal each other."</formula>
    </cfRule>
  </conditionalFormatting>
  <conditionalFormatting sqref="AA77">
    <cfRule type="cellIs" dxfId="140" priority="15" operator="equal">
      <formula>"&lt;- Debits and Credits do not equal each other."</formula>
    </cfRule>
  </conditionalFormatting>
  <conditionalFormatting sqref="AA91">
    <cfRule type="cellIs" dxfId="139" priority="14" operator="equal">
      <formula>"&lt;- Debits and Credits do not equal each other."</formula>
    </cfRule>
  </conditionalFormatting>
  <conditionalFormatting sqref="AA105">
    <cfRule type="cellIs" dxfId="138" priority="13" operator="equal">
      <formula>"&lt;- Debits and Credits do not equal each other."</formula>
    </cfRule>
  </conditionalFormatting>
  <conditionalFormatting sqref="AA119">
    <cfRule type="cellIs" dxfId="137" priority="12" operator="equal">
      <formula>"&lt;- Debits and Credits do not equal each other."</formula>
    </cfRule>
  </conditionalFormatting>
  <conditionalFormatting sqref="AA127:AA129">
    <cfRule type="containsText" dxfId="136" priority="27" operator="containsText" text="&lt;- should be a negative amount">
      <formula>NOT(ISERROR(SEARCH("&lt;- should be a negative amount",AA127)))</formula>
    </cfRule>
  </conditionalFormatting>
  <conditionalFormatting sqref="AA130:AA132">
    <cfRule type="containsText" dxfId="135" priority="26" operator="containsText" text="RTU Leased">
      <formula>NOT(ISERROR(SEARCH("RTU Leased",AA130)))</formula>
    </cfRule>
  </conditionalFormatting>
  <conditionalFormatting sqref="AA130:AA134">
    <cfRule type="containsText" dxfId="134" priority="23" operator="containsText" text="negative amount">
      <formula>NOT(ISERROR(SEARCH("negative amount",AA130)))</formula>
    </cfRule>
  </conditionalFormatting>
  <conditionalFormatting sqref="AA26:AC26">
    <cfRule type="containsText" dxfId="133" priority="11" operator="containsText" text="debits and credits do not equal each other">
      <formula>NOT(ISERROR(SEARCH("debits and credits do not equal each other",AA26)))</formula>
    </cfRule>
  </conditionalFormatting>
  <conditionalFormatting sqref="AA33:AC33">
    <cfRule type="containsText" dxfId="132" priority="66" operator="containsText" text="&lt;- Accts 0842 must agree">
      <formula>NOT(ISERROR(SEARCH("&lt;- Accts 0842 must agree",AA33)))</formula>
    </cfRule>
  </conditionalFormatting>
  <conditionalFormatting sqref="AA34:AC34 AA40:AC40">
    <cfRule type="containsText" dxfId="131" priority="65" operator="containsText" text="&lt;- Accts 0789 must agree">
      <formula>NOT(ISERROR(SEARCH("&lt;- Accts 0789 must agree",AA34)))</formula>
    </cfRule>
  </conditionalFormatting>
  <conditionalFormatting sqref="AA41:AC41">
    <cfRule type="containsText" dxfId="130" priority="68" operator="containsText" text="&lt;- Accts 0842 must agree">
      <formula>NOT(ISERROR(SEARCH("&lt;- Accts 0842 must agree",AA41)))</formula>
    </cfRule>
  </conditionalFormatting>
  <conditionalFormatting sqref="AE15:AF25">
    <cfRule type="containsText" dxfId="129" priority="52" operator="containsText" text="0">
      <formula>NOT(ISERROR(SEARCH("0",AE15)))</formula>
    </cfRule>
  </conditionalFormatting>
  <conditionalFormatting sqref="AF27">
    <cfRule type="cellIs" dxfId="128" priority="38" operator="lessThan">
      <formula>0</formula>
    </cfRule>
    <cfRule type="cellIs" dxfId="127" priority="39" operator="greaterThan">
      <formula>0</formula>
    </cfRule>
  </conditionalFormatting>
  <dataValidations count="4">
    <dataValidation operator="lessThan" allowBlank="1" showInputMessage="1" showErrorMessage="1" sqref="A3:A8" xr:uid="{00000000-0002-0000-0300-000000000000}"/>
    <dataValidation type="whole" operator="greaterThanOrEqual" allowBlank="1" showErrorMessage="1" errorTitle="Whole Numbers Only" error="Enter amounts as whole numbers only." promptTitle="Whole Numbers" prompt="Enter whole numbers only." sqref="K88:K90 Y110:Y113 K101:K104 N21:N25 Z42 K34:K35 K42 J39:J41 K48 J47 J68 J61:J63 Z48 J55 K56:K58 K69 K64 J75 K76 J85:J87 Z114:Z118 J15:J19 M15:M19 K20:K25 Z20:Z25 Y33 Z34:Z35 Z101:Z104 Y47 Y39:Y41 Y15:Y19 J33 Y55 Z56:Z58 Y62:Y63 Z64 Y68 Z69 Y75 Z76 Z88:Z90 Y85:Y87 K114:K118 Y96:Y100 J96:J100 J110:J113" xr:uid="{00000000-0002-0000-0300-000001000000}">
      <formula1>0</formula1>
    </dataValidation>
    <dataValidation type="textLength" operator="equal" allowBlank="1" showInputMessage="1" showErrorMessage="1" errorTitle="4-Digit Org Code" error="Enter the Org Code/BU as 4 digits." sqref="F5" xr:uid="{00000000-0002-0000-0300-000002000000}">
      <formula1>4</formula1>
    </dataValidation>
    <dataValidation type="whole" operator="greaterThanOrEqual" allowBlank="1" showInputMessage="1" showErrorMessage="1" sqref="AB15:AB17 AC20:AC23" xr:uid="{2BEDAF1A-952D-4462-AE87-4F6D9DD8BDA3}">
      <formula1>0</formula1>
    </dataValidation>
  </dataValidations>
  <pageMargins left="0.5" right="0.5" top="0.75" bottom="0.75" header="0.3" footer="0.3"/>
  <pageSetup scale="54" fitToHeight="0" orientation="landscape" r:id="rId1"/>
  <headerFooter>
    <oddHeader xml:space="preserve">&amp;C&amp;"arial,Bold"&amp;14GASB 87 
Fund Consolidated Journal Entries </oddHeader>
    <oddFooter>&amp;L&amp;"arial,Regular"&amp;12State Controller's Office&amp;C&amp;"arial,Regular"&amp;12
Fund #### Journal Entries&amp;R&amp;"arial,Regular"&amp;12Page &amp;P of &amp;N</oddFooter>
  </headerFooter>
  <rowBreaks count="2" manualBreakCount="2">
    <brk id="51" max="17" man="1"/>
    <brk id="92" max="1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'Drop Down Menus'!$A$1:$A$101</xm:f>
          </x14:formula1>
          <xm:sqref>F3</xm:sqref>
        </x14:dataValidation>
        <x14:dataValidation type="list" allowBlank="1" showInputMessage="1" showErrorMessage="1" xr:uid="{00000000-0002-0000-0300-000004000000}">
          <x14:formula1>
            <xm:f>'Drop Down Menus'!$B$1:$B$2</xm:f>
          </x14:formula1>
          <xm:sqref>F7</xm:sqref>
        </x14:dataValidation>
        <x14:dataValidation type="list" allowBlank="1" showInputMessage="1" showErrorMessage="1" xr:uid="{00000000-0002-0000-0300-000005000000}">
          <x14:formula1>
            <xm:f>'Drop Down Menus'!$E$1:$E$3</xm:f>
          </x14:formula1>
          <xm:sqref>F8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59999389629810485"/>
    <pageSetUpPr fitToPage="1"/>
  </sheetPr>
  <dimension ref="A1:L99"/>
  <sheetViews>
    <sheetView topLeftCell="A34" zoomScale="80" zoomScaleNormal="80" workbookViewId="0">
      <selection activeCell="D4" sqref="D4"/>
    </sheetView>
  </sheetViews>
  <sheetFormatPr defaultColWidth="9.140625" defaultRowHeight="15" x14ac:dyDescent="0.2"/>
  <cols>
    <col min="1" max="1" width="24.28515625" style="1" customWidth="1"/>
    <col min="2" max="3" width="30.7109375" style="1" customWidth="1"/>
    <col min="4" max="4" width="92.7109375" style="1" customWidth="1"/>
    <col min="5" max="5" width="9.140625" style="1"/>
    <col min="6" max="6" width="19.28515625" style="1" customWidth="1"/>
    <col min="7" max="9" width="9.140625" style="1"/>
    <col min="10" max="10" width="15.7109375" style="1" customWidth="1"/>
    <col min="11" max="12" width="24.7109375" style="1" customWidth="1"/>
    <col min="13" max="16384" width="9.140625" style="1"/>
  </cols>
  <sheetData>
    <row r="1" spans="1:12" ht="30" customHeight="1" x14ac:dyDescent="0.25">
      <c r="A1" s="431" t="s">
        <v>1882</v>
      </c>
      <c r="B1" s="431"/>
      <c r="C1" s="431"/>
      <c r="D1" s="431"/>
      <c r="E1" s="431"/>
      <c r="F1" s="431"/>
      <c r="G1" s="5"/>
      <c r="H1" s="5"/>
      <c r="I1" s="5"/>
      <c r="J1" s="5"/>
      <c r="K1" s="5"/>
      <c r="L1" s="5"/>
    </row>
    <row r="2" spans="1:12" ht="64.150000000000006" customHeight="1" x14ac:dyDescent="0.25">
      <c r="A2" s="430" t="s">
        <v>1880</v>
      </c>
      <c r="B2" s="430"/>
      <c r="C2" s="430"/>
      <c r="D2" s="430"/>
      <c r="E2" s="430"/>
      <c r="F2" s="430"/>
      <c r="G2" s="5"/>
      <c r="H2" s="5"/>
      <c r="I2" s="5"/>
      <c r="J2" s="5"/>
      <c r="K2" s="5"/>
      <c r="L2" s="5"/>
    </row>
    <row r="3" spans="1:12" ht="31.9" customHeight="1" x14ac:dyDescent="0.25">
      <c r="A3" s="434" t="s">
        <v>209</v>
      </c>
      <c r="B3" s="434"/>
      <c r="C3" s="434"/>
      <c r="D3" s="51"/>
      <c r="E3" s="5"/>
      <c r="F3" s="5"/>
      <c r="G3" s="5"/>
      <c r="H3" s="5"/>
      <c r="I3" s="5"/>
      <c r="J3" s="5"/>
      <c r="K3" s="5"/>
      <c r="L3" s="5"/>
    </row>
    <row r="4" spans="1:12" ht="31.15" customHeight="1" thickBot="1" x14ac:dyDescent="0.3">
      <c r="A4" s="435" t="s">
        <v>7</v>
      </c>
      <c r="B4" s="435"/>
      <c r="C4" s="435"/>
      <c r="D4" s="51"/>
      <c r="E4" s="5"/>
      <c r="F4" s="5"/>
      <c r="G4" s="5"/>
      <c r="H4" s="5"/>
      <c r="I4" s="5"/>
      <c r="J4" s="5"/>
      <c r="K4" s="5"/>
      <c r="L4" s="5"/>
    </row>
    <row r="5" spans="1:12" ht="31.15" customHeight="1" x14ac:dyDescent="0.25">
      <c r="A5" s="435" t="s">
        <v>9</v>
      </c>
      <c r="B5" s="435"/>
      <c r="C5" s="435"/>
      <c r="D5" s="51"/>
      <c r="E5" s="5"/>
      <c r="F5" s="5"/>
      <c r="G5" s="5"/>
      <c r="H5" s="5"/>
      <c r="I5" s="5"/>
      <c r="J5" s="417" t="s">
        <v>1795</v>
      </c>
      <c r="K5" s="418"/>
      <c r="L5" s="419"/>
    </row>
    <row r="6" spans="1:12" ht="20.25" customHeight="1" x14ac:dyDescent="0.25">
      <c r="A6" s="51"/>
      <c r="B6" s="51"/>
      <c r="C6" s="51"/>
      <c r="D6" s="51"/>
      <c r="E6" s="5"/>
      <c r="F6" s="5"/>
      <c r="G6" s="5"/>
      <c r="H6" s="5"/>
      <c r="I6" s="5"/>
      <c r="J6" s="420"/>
      <c r="K6" s="421"/>
      <c r="L6" s="422"/>
    </row>
    <row r="7" spans="1:12" ht="20.25" x14ac:dyDescent="0.3">
      <c r="A7" s="139" t="s">
        <v>5</v>
      </c>
      <c r="B7" s="5"/>
      <c r="C7" s="5"/>
      <c r="D7" s="5"/>
      <c r="E7" s="5"/>
      <c r="F7" s="5"/>
      <c r="G7" s="5"/>
      <c r="H7" s="5"/>
      <c r="I7" s="5"/>
      <c r="J7" s="326" t="str">
        <f>A7</f>
        <v>I. Governmental funds</v>
      </c>
      <c r="K7" s="338"/>
      <c r="L7" s="327"/>
    </row>
    <row r="8" spans="1:12" ht="15.75" customHeight="1" x14ac:dyDescent="0.25">
      <c r="A8" s="12" t="s">
        <v>12</v>
      </c>
      <c r="B8" s="432" t="str">
        <f>'LS-Fund #### Journal Entries'!$F$3</f>
        <v>2024–2025</v>
      </c>
      <c r="C8" s="432"/>
      <c r="E8" s="5"/>
      <c r="F8" s="5"/>
      <c r="J8" s="328"/>
      <c r="K8" s="338"/>
      <c r="L8" s="327"/>
    </row>
    <row r="9" spans="1:12" ht="15.75" x14ac:dyDescent="0.25">
      <c r="A9" s="12" t="s">
        <v>207</v>
      </c>
      <c r="B9" s="429">
        <f>'LS-Fund #### Journal Entries'!$F$5</f>
        <v>0</v>
      </c>
      <c r="C9" s="429"/>
      <c r="D9" s="5"/>
      <c r="E9" s="5"/>
      <c r="F9" s="5"/>
      <c r="J9" s="328"/>
      <c r="K9" s="338"/>
      <c r="L9" s="327"/>
    </row>
    <row r="10" spans="1:12" ht="18" x14ac:dyDescent="0.25">
      <c r="A10" s="12" t="s">
        <v>206</v>
      </c>
      <c r="B10" s="433">
        <f>'LS-Fund #### Journal Entries'!F4</f>
        <v>0</v>
      </c>
      <c r="C10" s="427"/>
      <c r="D10" s="378" t="str" cm="1">
        <f t="array" ref="D10">IF(AND(SUMPRODUCT(--ISNUMBER(B13:B36))&gt;0, OR(D15="", D20="", D25="", D30="", D34="")), "Please answer all five questions below.", "")</f>
        <v/>
      </c>
      <c r="E10" s="5"/>
      <c r="F10" s="5"/>
      <c r="G10" s="54"/>
      <c r="H10" s="54"/>
      <c r="I10" s="54"/>
      <c r="J10" s="329"/>
      <c r="K10" s="338"/>
      <c r="L10" s="327"/>
    </row>
    <row r="11" spans="1:12" ht="32.25" customHeight="1" x14ac:dyDescent="0.25">
      <c r="A11" s="425" t="s">
        <v>1744</v>
      </c>
      <c r="B11" s="426"/>
      <c r="C11" s="426"/>
      <c r="D11" s="5"/>
      <c r="E11" s="5"/>
      <c r="F11" s="5"/>
      <c r="G11" s="56"/>
      <c r="H11" s="56"/>
      <c r="I11" s="56"/>
      <c r="J11" s="330"/>
      <c r="K11" s="337" t="s">
        <v>1796</v>
      </c>
      <c r="L11" s="331"/>
    </row>
    <row r="12" spans="1:12" ht="15" customHeight="1" x14ac:dyDescent="0.25">
      <c r="A12" s="77"/>
      <c r="B12" s="78" t="s">
        <v>10</v>
      </c>
      <c r="C12" s="78" t="s">
        <v>11</v>
      </c>
      <c r="D12" s="428" t="str">
        <f>"All of the below questions are for Fiscal Year "&amp;$B$8&amp;":"</f>
        <v>All of the below questions are for Fiscal Year 2024–2025:</v>
      </c>
      <c r="E12" s="428"/>
      <c r="F12" s="428"/>
      <c r="G12" s="56"/>
      <c r="H12" s="56"/>
      <c r="I12" s="56"/>
      <c r="J12" s="332"/>
      <c r="K12" s="333" t="str">
        <f>B12</f>
        <v>Principal Payments</v>
      </c>
      <c r="L12" s="334" t="str">
        <f>C12</f>
        <v>Interest Payments</v>
      </c>
    </row>
    <row r="13" spans="1:12" ht="15.6" customHeight="1" x14ac:dyDescent="0.25">
      <c r="A13" s="77" t="str">
        <f>RIGHT(B8,4)&amp;"–"&amp;RIGHT(B8,4)+1</f>
        <v>2025–2026</v>
      </c>
      <c r="B13" s="89"/>
      <c r="C13" s="89"/>
      <c r="D13" s="413" t="s">
        <v>6</v>
      </c>
      <c r="E13" s="414"/>
      <c r="F13" s="414"/>
      <c r="G13" s="56"/>
      <c r="H13" s="56"/>
      <c r="I13" s="56"/>
      <c r="J13" s="335" t="str">
        <f>$A13</f>
        <v>2025–2026</v>
      </c>
      <c r="K13" s="336">
        <f>ROUND($B13,-3)</f>
        <v>0</v>
      </c>
      <c r="L13" s="339">
        <f>ROUND($C13,-3)</f>
        <v>0</v>
      </c>
    </row>
    <row r="14" spans="1:12" x14ac:dyDescent="0.2">
      <c r="A14" s="77" t="str">
        <f>LEFT(A13,4)+1&amp;"–"&amp;RIGHT(A13,4)+1</f>
        <v>2026–2027</v>
      </c>
      <c r="B14" s="89"/>
      <c r="C14" s="89"/>
      <c r="D14" s="413"/>
      <c r="E14" s="414"/>
      <c r="F14" s="414"/>
      <c r="J14" s="335" t="str">
        <f t="shared" ref="J14:J35" si="0">$A14</f>
        <v>2026–2027</v>
      </c>
      <c r="K14" s="336">
        <f t="shared" ref="K14:K35" si="1">ROUND($B14,-3)</f>
        <v>0</v>
      </c>
      <c r="L14" s="339">
        <f t="shared" ref="L14:L35" si="2">ROUND($C14,-3)</f>
        <v>0</v>
      </c>
    </row>
    <row r="15" spans="1:12" ht="15.75" x14ac:dyDescent="0.2">
      <c r="A15" s="77" t="str">
        <f>LEFT(A14,4)+1&amp;"–"&amp;RIGHT(A14,4)+1</f>
        <v>2027–2028</v>
      </c>
      <c r="B15" s="89"/>
      <c r="C15" s="89"/>
      <c r="D15" s="412"/>
      <c r="E15" s="412"/>
      <c r="F15" s="412"/>
      <c r="G15" s="369"/>
      <c r="H15" s="369"/>
      <c r="I15" s="369"/>
      <c r="J15" s="335" t="str">
        <f t="shared" si="0"/>
        <v>2027–2028</v>
      </c>
      <c r="K15" s="336">
        <f t="shared" si="1"/>
        <v>0</v>
      </c>
      <c r="L15" s="339">
        <f t="shared" si="2"/>
        <v>0</v>
      </c>
    </row>
    <row r="16" spans="1:12" x14ac:dyDescent="0.2">
      <c r="A16" s="77" t="str">
        <f>LEFT(A15,4)+1&amp;"–"&amp;RIGHT(A15,4)+1</f>
        <v>2028–2029</v>
      </c>
      <c r="B16" s="89"/>
      <c r="C16" s="89"/>
      <c r="D16" s="416" t="str">
        <f>"If yes, record the dollar amount of variable payments below for fiscal year "&amp;$B$8&amp;":"</f>
        <v>If yes, record the dollar amount of variable payments below for fiscal year 2024–2025:</v>
      </c>
      <c r="E16" s="416"/>
      <c r="F16" s="416"/>
      <c r="G16" s="57"/>
      <c r="H16" s="57"/>
      <c r="I16" s="57"/>
      <c r="J16" s="335" t="str">
        <f t="shared" si="0"/>
        <v>2028–2029</v>
      </c>
      <c r="K16" s="336">
        <f t="shared" si="1"/>
        <v>0</v>
      </c>
      <c r="L16" s="339">
        <f t="shared" si="2"/>
        <v>0</v>
      </c>
    </row>
    <row r="17" spans="1:12" ht="15" customHeight="1" x14ac:dyDescent="0.2">
      <c r="A17" s="77" t="str">
        <f>LEFT(A16,4)+1&amp;"–"&amp;RIGHT(A16,4)+1</f>
        <v>2029–2030</v>
      </c>
      <c r="B17" s="89"/>
      <c r="C17" s="89"/>
      <c r="D17" s="412" t="str">
        <f>IF(D15="","",IF(D15="No",0,"Please enter the amount here."))</f>
        <v/>
      </c>
      <c r="E17" s="412"/>
      <c r="F17" s="412"/>
      <c r="G17" s="57"/>
      <c r="H17" s="57"/>
      <c r="I17" s="57"/>
      <c r="J17" s="335" t="str">
        <f t="shared" si="0"/>
        <v>2029–2030</v>
      </c>
      <c r="K17" s="336">
        <f t="shared" si="1"/>
        <v>0</v>
      </c>
      <c r="L17" s="339">
        <f t="shared" si="2"/>
        <v>0</v>
      </c>
    </row>
    <row r="18" spans="1:12" ht="15" customHeight="1" x14ac:dyDescent="0.25">
      <c r="A18" s="77" t="str">
        <f>LEFT(A17,4)+1&amp;"–"&amp;RIGHT(A17,4)+5</f>
        <v>2030–2035</v>
      </c>
      <c r="B18" s="89"/>
      <c r="C18" s="89"/>
      <c r="D18" s="413" t="s">
        <v>8</v>
      </c>
      <c r="E18" s="414"/>
      <c r="F18" s="414"/>
      <c r="G18" s="56"/>
      <c r="H18" s="56"/>
      <c r="I18" s="56"/>
      <c r="J18" s="335" t="str">
        <f t="shared" si="0"/>
        <v>2030–2035</v>
      </c>
      <c r="K18" s="336">
        <f t="shared" si="1"/>
        <v>0</v>
      </c>
      <c r="L18" s="339">
        <f t="shared" si="2"/>
        <v>0</v>
      </c>
    </row>
    <row r="19" spans="1:12" x14ac:dyDescent="0.2">
      <c r="A19" s="77" t="str">
        <f t="shared" ref="A19:A32" si="3">LEFT(A18,4)+5&amp;"–"&amp;RIGHT(A18,4)+5</f>
        <v>2035–2040</v>
      </c>
      <c r="B19" s="89"/>
      <c r="C19" s="89"/>
      <c r="D19" s="413"/>
      <c r="E19" s="414"/>
      <c r="F19" s="414"/>
      <c r="J19" s="335" t="str">
        <f t="shared" si="0"/>
        <v>2035–2040</v>
      </c>
      <c r="K19" s="336">
        <f t="shared" si="1"/>
        <v>0</v>
      </c>
      <c r="L19" s="339">
        <f t="shared" si="2"/>
        <v>0</v>
      </c>
    </row>
    <row r="20" spans="1:12" ht="15.75" x14ac:dyDescent="0.2">
      <c r="A20" s="77" t="str">
        <f t="shared" si="3"/>
        <v>2040–2045</v>
      </c>
      <c r="B20" s="89"/>
      <c r="C20" s="89"/>
      <c r="D20" s="412"/>
      <c r="E20" s="412"/>
      <c r="F20" s="412"/>
      <c r="G20" s="369"/>
      <c r="H20" s="369"/>
      <c r="I20" s="369"/>
      <c r="J20" s="335" t="str">
        <f t="shared" si="0"/>
        <v>2040–2045</v>
      </c>
      <c r="K20" s="336">
        <f t="shared" si="1"/>
        <v>0</v>
      </c>
      <c r="L20" s="339">
        <f t="shared" si="2"/>
        <v>0</v>
      </c>
    </row>
    <row r="21" spans="1:12" ht="15" customHeight="1" x14ac:dyDescent="0.2">
      <c r="A21" s="77" t="str">
        <f t="shared" si="3"/>
        <v>2045–2050</v>
      </c>
      <c r="B21" s="89"/>
      <c r="C21" s="89"/>
      <c r="D21" s="415" t="str">
        <f>"If yes, record the dollar amount of any payments made for residual value guarantees below for fiscal year "&amp;$B$8&amp;":"</f>
        <v>If yes, record the dollar amount of any payments made for residual value guarantees below for fiscal year 2024–2025:</v>
      </c>
      <c r="E21" s="416"/>
      <c r="F21" s="416"/>
      <c r="J21" s="335" t="str">
        <f t="shared" si="0"/>
        <v>2045–2050</v>
      </c>
      <c r="K21" s="336">
        <f t="shared" si="1"/>
        <v>0</v>
      </c>
      <c r="L21" s="339">
        <f t="shared" si="2"/>
        <v>0</v>
      </c>
    </row>
    <row r="22" spans="1:12" x14ac:dyDescent="0.2">
      <c r="A22" s="77" t="str">
        <f t="shared" si="3"/>
        <v>2050–2055</v>
      </c>
      <c r="B22" s="89"/>
      <c r="C22" s="89"/>
      <c r="D22" s="412" t="str">
        <f>IF(D20="","",IF(D20="No",0,"Please enter the amount here."))</f>
        <v/>
      </c>
      <c r="E22" s="412"/>
      <c r="F22" s="412"/>
      <c r="J22" s="335" t="str">
        <f t="shared" si="0"/>
        <v>2050–2055</v>
      </c>
      <c r="K22" s="336">
        <f t="shared" si="1"/>
        <v>0</v>
      </c>
      <c r="L22" s="339">
        <f t="shared" si="2"/>
        <v>0</v>
      </c>
    </row>
    <row r="23" spans="1:12" x14ac:dyDescent="0.2">
      <c r="A23" s="77" t="str">
        <f t="shared" si="3"/>
        <v>2055–2060</v>
      </c>
      <c r="B23" s="89"/>
      <c r="C23" s="89"/>
      <c r="D23" s="413" t="str">
        <f>"3. Were any other payments for your leases, such as termination penalties, not previously recorded in the payment schedule for fiscal year "&amp;$B$8&amp;":"</f>
        <v>3. Were any other payments for your leases, such as termination penalties, not previously recorded in the payment schedule for fiscal year 2024–2025:</v>
      </c>
      <c r="E23" s="414"/>
      <c r="F23" s="414"/>
      <c r="J23" s="335" t="str">
        <f t="shared" si="0"/>
        <v>2055–2060</v>
      </c>
      <c r="K23" s="336">
        <f t="shared" si="1"/>
        <v>0</v>
      </c>
      <c r="L23" s="339">
        <f t="shared" si="2"/>
        <v>0</v>
      </c>
    </row>
    <row r="24" spans="1:12" ht="15" customHeight="1" x14ac:dyDescent="0.2">
      <c r="A24" s="77" t="str">
        <f t="shared" si="3"/>
        <v>2060–2065</v>
      </c>
      <c r="B24" s="89"/>
      <c r="C24" s="89"/>
      <c r="D24" s="413"/>
      <c r="E24" s="414"/>
      <c r="F24" s="414"/>
      <c r="J24" s="335" t="str">
        <f t="shared" si="0"/>
        <v>2060–2065</v>
      </c>
      <c r="K24" s="336">
        <f t="shared" si="1"/>
        <v>0</v>
      </c>
      <c r="L24" s="339">
        <f t="shared" si="2"/>
        <v>0</v>
      </c>
    </row>
    <row r="25" spans="1:12" ht="15" customHeight="1" x14ac:dyDescent="0.2">
      <c r="A25" s="77" t="str">
        <f t="shared" si="3"/>
        <v>2065–2070</v>
      </c>
      <c r="B25" s="89"/>
      <c r="C25" s="89"/>
      <c r="D25" s="412"/>
      <c r="E25" s="412"/>
      <c r="F25" s="412"/>
      <c r="J25" s="335" t="str">
        <f t="shared" si="0"/>
        <v>2065–2070</v>
      </c>
      <c r="K25" s="336">
        <f t="shared" si="1"/>
        <v>0</v>
      </c>
      <c r="L25" s="339">
        <f t="shared" si="2"/>
        <v>0</v>
      </c>
    </row>
    <row r="26" spans="1:12" ht="15.75" customHeight="1" x14ac:dyDescent="0.2">
      <c r="A26" s="77" t="str">
        <f t="shared" si="3"/>
        <v>2070–2075</v>
      </c>
      <c r="B26" s="89"/>
      <c r="C26" s="89"/>
      <c r="D26" s="1" t="s">
        <v>1841</v>
      </c>
      <c r="E26" s="370"/>
      <c r="F26" s="370"/>
      <c r="J26" s="335" t="str">
        <f t="shared" si="0"/>
        <v>2070–2075</v>
      </c>
      <c r="K26" s="336">
        <f t="shared" si="1"/>
        <v>0</v>
      </c>
      <c r="L26" s="339">
        <f t="shared" si="2"/>
        <v>0</v>
      </c>
    </row>
    <row r="27" spans="1:12" ht="15" customHeight="1" x14ac:dyDescent="0.2">
      <c r="A27" s="77" t="str">
        <f t="shared" si="3"/>
        <v>2075–2080</v>
      </c>
      <c r="B27" s="89"/>
      <c r="C27" s="89"/>
      <c r="D27" s="412" t="str">
        <f>IF(D25="","",IF(D25="No",0,"Please enter the amount here."))</f>
        <v/>
      </c>
      <c r="E27" s="412"/>
      <c r="F27" s="412"/>
      <c r="J27" s="335" t="str">
        <f t="shared" si="0"/>
        <v>2075–2080</v>
      </c>
      <c r="K27" s="336">
        <f t="shared" si="1"/>
        <v>0</v>
      </c>
      <c r="L27" s="339">
        <f t="shared" si="2"/>
        <v>0</v>
      </c>
    </row>
    <row r="28" spans="1:12" ht="15.75" x14ac:dyDescent="0.2">
      <c r="A28" s="77" t="str">
        <f t="shared" si="3"/>
        <v>2080–2085</v>
      </c>
      <c r="B28" s="89"/>
      <c r="C28" s="89"/>
      <c r="D28" s="413" t="str">
        <f>"4. Did you receive any lease incentives from the lessor (not already included in the lease measurment) during fiscal year "&amp;$B$8&amp;"? "</f>
        <v xml:space="preserve">4. Did you receive any lease incentives from the lessor (not already included in the lease measurment) during fiscal year 2024–2025? </v>
      </c>
      <c r="E28" s="414"/>
      <c r="F28" s="414"/>
      <c r="G28" s="371"/>
      <c r="H28" s="371"/>
      <c r="I28" s="371"/>
      <c r="J28" s="335" t="str">
        <f t="shared" si="0"/>
        <v>2080–2085</v>
      </c>
      <c r="K28" s="336">
        <f t="shared" si="1"/>
        <v>0</v>
      </c>
      <c r="L28" s="339">
        <f t="shared" si="2"/>
        <v>0</v>
      </c>
    </row>
    <row r="29" spans="1:12" ht="15.75" x14ac:dyDescent="0.2">
      <c r="A29" s="77" t="str">
        <f t="shared" si="3"/>
        <v>2085–2090</v>
      </c>
      <c r="B29" s="89"/>
      <c r="C29" s="89"/>
      <c r="D29" s="413"/>
      <c r="E29" s="414"/>
      <c r="F29" s="414"/>
      <c r="G29" s="371"/>
      <c r="H29" s="371"/>
      <c r="I29" s="371"/>
      <c r="J29" s="335" t="str">
        <f t="shared" si="0"/>
        <v>2085–2090</v>
      </c>
      <c r="K29" s="336">
        <f t="shared" si="1"/>
        <v>0</v>
      </c>
      <c r="L29" s="339">
        <f t="shared" si="2"/>
        <v>0</v>
      </c>
    </row>
    <row r="30" spans="1:12" ht="15.75" x14ac:dyDescent="0.2">
      <c r="A30" s="77" t="str">
        <f t="shared" si="3"/>
        <v>2090–2095</v>
      </c>
      <c r="B30" s="89"/>
      <c r="C30" s="89"/>
      <c r="D30" s="412"/>
      <c r="E30" s="412"/>
      <c r="F30" s="412"/>
      <c r="G30" s="371"/>
      <c r="H30" s="371"/>
      <c r="I30" s="371"/>
      <c r="J30" s="335" t="str">
        <f t="shared" si="0"/>
        <v>2090–2095</v>
      </c>
      <c r="K30" s="336">
        <f t="shared" si="1"/>
        <v>0</v>
      </c>
      <c r="L30" s="339">
        <f t="shared" si="2"/>
        <v>0</v>
      </c>
    </row>
    <row r="31" spans="1:12" ht="15" customHeight="1" x14ac:dyDescent="0.2">
      <c r="A31" s="77" t="str">
        <f t="shared" si="3"/>
        <v>2095–2100</v>
      </c>
      <c r="B31" s="89"/>
      <c r="C31" s="89"/>
      <c r="D31" s="1" t="str">
        <f>"If yes, record the dollar amount for fiscal year "&amp;$B$8&amp;":"</f>
        <v>If yes, record the dollar amount for fiscal year 2024–2025:</v>
      </c>
      <c r="J31" s="335" t="str">
        <f t="shared" si="0"/>
        <v>2095–2100</v>
      </c>
      <c r="K31" s="336">
        <f t="shared" si="1"/>
        <v>0</v>
      </c>
      <c r="L31" s="339">
        <f t="shared" si="2"/>
        <v>0</v>
      </c>
    </row>
    <row r="32" spans="1:12" x14ac:dyDescent="0.2">
      <c r="A32" s="77" t="str">
        <f t="shared" si="3"/>
        <v>2100–2105</v>
      </c>
      <c r="B32" s="89"/>
      <c r="C32" s="89"/>
      <c r="D32" s="412" t="str">
        <f>IF(D30="","",IF(D30="No",0,"Please enter the amount here."))</f>
        <v/>
      </c>
      <c r="E32" s="412"/>
      <c r="F32" s="412"/>
      <c r="J32" s="335" t="str">
        <f t="shared" si="0"/>
        <v>2100–2105</v>
      </c>
      <c r="K32" s="336">
        <f t="shared" si="1"/>
        <v>0</v>
      </c>
      <c r="L32" s="339">
        <f t="shared" si="2"/>
        <v>0</v>
      </c>
    </row>
    <row r="33" spans="1:12" x14ac:dyDescent="0.2">
      <c r="A33" s="77" t="str">
        <f>LEFT(A32,4)+5&amp;"–"&amp;RIGHT(A32,4)+5</f>
        <v>2105–2110</v>
      </c>
      <c r="B33" s="89"/>
      <c r="C33" s="89"/>
      <c r="D33" s="423" t="str">
        <f>CONCATENATE("5. Are there any lease commitments known that have yet to commence as of June 30, ",RIGHT(B8,4),"?")</f>
        <v>5. Are there any lease commitments known that have yet to commence as of June 30, 2025?</v>
      </c>
      <c r="E33" s="424"/>
      <c r="F33" s="424"/>
      <c r="J33" s="335" t="str">
        <f t="shared" si="0"/>
        <v>2105–2110</v>
      </c>
      <c r="K33" s="336">
        <f t="shared" si="1"/>
        <v>0</v>
      </c>
      <c r="L33" s="339">
        <f t="shared" si="2"/>
        <v>0</v>
      </c>
    </row>
    <row r="34" spans="1:12" ht="15" customHeight="1" x14ac:dyDescent="0.2">
      <c r="A34" s="77" t="str">
        <f>LEFT(A33,4)+5&amp;"–"&amp;RIGHT(A33,4)+5</f>
        <v>2110–2115</v>
      </c>
      <c r="B34" s="89"/>
      <c r="C34" s="89"/>
      <c r="D34" s="412"/>
      <c r="E34" s="412"/>
      <c r="F34" s="412"/>
      <c r="G34" s="54"/>
      <c r="H34" s="54"/>
      <c r="I34" s="54"/>
      <c r="J34" s="335" t="str">
        <f t="shared" si="0"/>
        <v>2110–2115</v>
      </c>
      <c r="K34" s="336">
        <f t="shared" si="1"/>
        <v>0</v>
      </c>
      <c r="L34" s="339">
        <f t="shared" si="2"/>
        <v>0</v>
      </c>
    </row>
    <row r="35" spans="1:12" ht="16.5" customHeight="1" x14ac:dyDescent="0.2">
      <c r="A35" s="77" t="str">
        <f>LEFT(A34,4)+5&amp;"–"&amp;RIGHT(A34,4)+5</f>
        <v>2115–2120</v>
      </c>
      <c r="B35" s="89"/>
      <c r="C35" s="89"/>
      <c r="D35" s="90" t="str">
        <f>"If yes, record the dollar amount of any lease commitments not commenced below for fiscal year "&amp;A13&amp;"."</f>
        <v>If yes, record the dollar amount of any lease commitments not commenced below for fiscal year 2025–2026.</v>
      </c>
      <c r="E35" s="55"/>
      <c r="F35" s="55"/>
      <c r="G35" s="7"/>
      <c r="H35" s="7"/>
      <c r="I35" s="7"/>
      <c r="J35" s="335" t="str">
        <f t="shared" si="0"/>
        <v>2115–2120</v>
      </c>
      <c r="K35" s="336">
        <f t="shared" si="1"/>
        <v>0</v>
      </c>
      <c r="L35" s="339">
        <f t="shared" si="2"/>
        <v>0</v>
      </c>
    </row>
    <row r="36" spans="1:12" ht="15" customHeight="1" x14ac:dyDescent="0.2">
      <c r="A36" s="77" t="str">
        <f>LEFT(A35,4)+5&amp;"–"&amp;RIGHT(A35,4)+5</f>
        <v>2120–2125</v>
      </c>
      <c r="B36" s="89"/>
      <c r="C36" s="89"/>
      <c r="D36" s="412" t="str">
        <f>IF(D34="","",IF(D34="No",0,"Please enter the amount here."))</f>
        <v/>
      </c>
      <c r="E36" s="412"/>
      <c r="F36" s="412"/>
      <c r="G36" s="7"/>
      <c r="H36" s="7"/>
      <c r="I36" s="7"/>
      <c r="J36" s="328"/>
      <c r="K36" s="338"/>
      <c r="L36" s="327"/>
    </row>
    <row r="37" spans="1:12" ht="15.75" x14ac:dyDescent="0.25">
      <c r="B37" s="59"/>
      <c r="C37" s="59"/>
      <c r="D37" s="364" t="str">
        <f>IF(OR(D15="",D20="",D25="",D30="",D34=""),"Please answer the Department Note Disclosure Questionnaire for Governmental Funds.","")</f>
        <v>Please answer the Department Note Disclosure Questionnaire for Governmental Funds.</v>
      </c>
      <c r="F37" s="371"/>
      <c r="J37" s="326"/>
      <c r="K37" s="338"/>
      <c r="L37" s="327"/>
    </row>
    <row r="38" spans="1:12" ht="20.25" x14ac:dyDescent="0.3">
      <c r="A38" s="139" t="s">
        <v>142</v>
      </c>
      <c r="F38" s="371"/>
      <c r="J38" s="326" t="str">
        <f>A38</f>
        <v>II. Proprietary - INTERNAL SERVICE FUNDS</v>
      </c>
      <c r="K38" s="372"/>
      <c r="L38" s="373"/>
    </row>
    <row r="39" spans="1:12" ht="15.75" x14ac:dyDescent="0.25">
      <c r="A39" s="12" t="s">
        <v>12</v>
      </c>
      <c r="B39" s="427" t="str">
        <f>B8</f>
        <v>2024–2025</v>
      </c>
      <c r="C39" s="427"/>
      <c r="E39" s="58"/>
      <c r="J39" s="328"/>
      <c r="K39" s="374"/>
      <c r="L39" s="375"/>
    </row>
    <row r="40" spans="1:12" ht="15.6" customHeight="1" x14ac:dyDescent="0.25">
      <c r="A40" s="12" t="s">
        <v>207</v>
      </c>
      <c r="B40" s="429">
        <f>B9</f>
        <v>0</v>
      </c>
      <c r="C40" s="429"/>
      <c r="E40" s="58"/>
      <c r="J40" s="328"/>
      <c r="K40" s="374"/>
      <c r="L40" s="375"/>
    </row>
    <row r="41" spans="1:12" ht="18" x14ac:dyDescent="0.25">
      <c r="A41" s="12" t="s">
        <v>206</v>
      </c>
      <c r="B41" s="427">
        <f>B10</f>
        <v>0</v>
      </c>
      <c r="C41" s="427"/>
      <c r="D41" s="378" t="str" cm="1">
        <f t="array" ref="D41">IF(AND(SUMPRODUCT(--ISNUMBER(B44:B67))&gt;0, OR(D46="", D51="", D56="", D61="", D65="")), "Please answer all five questions below.", "")</f>
        <v/>
      </c>
      <c r="E41" s="58"/>
      <c r="J41" s="376"/>
      <c r="K41" s="337"/>
      <c r="L41" s="331"/>
    </row>
    <row r="42" spans="1:12" ht="32.25" customHeight="1" x14ac:dyDescent="0.25">
      <c r="A42" s="425" t="s">
        <v>1744</v>
      </c>
      <c r="B42" s="426"/>
      <c r="C42" s="426"/>
      <c r="D42" s="5"/>
      <c r="E42" s="5"/>
      <c r="F42" s="5"/>
      <c r="G42" s="56"/>
      <c r="H42" s="56"/>
      <c r="I42" s="56"/>
      <c r="J42" s="376"/>
      <c r="K42" s="337" t="s">
        <v>1796</v>
      </c>
      <c r="L42" s="377"/>
    </row>
    <row r="43" spans="1:12" ht="15" customHeight="1" x14ac:dyDescent="0.25">
      <c r="A43" s="77"/>
      <c r="B43" s="78" t="s">
        <v>10</v>
      </c>
      <c r="C43" s="78" t="s">
        <v>11</v>
      </c>
      <c r="D43" s="428" t="str">
        <f>"All of the below questions are for Fiscal Year "&amp;$B$8&amp;":"</f>
        <v>All of the below questions are for Fiscal Year 2024–2025:</v>
      </c>
      <c r="E43" s="428"/>
      <c r="F43" s="428"/>
      <c r="J43" s="332"/>
      <c r="K43" s="333" t="str">
        <f>B43</f>
        <v>Principal Payments</v>
      </c>
      <c r="L43" s="334" t="str">
        <f>C43</f>
        <v>Interest Payments</v>
      </c>
    </row>
    <row r="44" spans="1:12" ht="15" customHeight="1" x14ac:dyDescent="0.2">
      <c r="A44" s="77" t="str">
        <f>RIGHT(B39,4)&amp;"–"&amp;RIGHT(B39,4)+1</f>
        <v>2025–2026</v>
      </c>
      <c r="B44" s="89"/>
      <c r="C44" s="89"/>
      <c r="D44" s="413" t="s">
        <v>6</v>
      </c>
      <c r="E44" s="414"/>
      <c r="F44" s="414"/>
      <c r="J44" s="335" t="str">
        <f>$A44</f>
        <v>2025–2026</v>
      </c>
      <c r="K44" s="336">
        <f>ROUND($B44,-3)</f>
        <v>0</v>
      </c>
      <c r="L44" s="339">
        <f>ROUND($C44,-3)</f>
        <v>0</v>
      </c>
    </row>
    <row r="45" spans="1:12" ht="15" customHeight="1" x14ac:dyDescent="0.2">
      <c r="A45" s="77" t="str">
        <f>LEFT(A44,4)+1&amp;"–"&amp;RIGHT(A44,4)+1</f>
        <v>2026–2027</v>
      </c>
      <c r="B45" s="89"/>
      <c r="C45" s="89"/>
      <c r="D45" s="413"/>
      <c r="E45" s="414"/>
      <c r="F45" s="414"/>
      <c r="J45" s="335" t="str">
        <f t="shared" ref="J45:J66" si="4">$A45</f>
        <v>2026–2027</v>
      </c>
      <c r="K45" s="336">
        <f t="shared" ref="K45:K66" si="5">ROUND($B45,-3)</f>
        <v>0</v>
      </c>
      <c r="L45" s="339">
        <f t="shared" ref="L45:L66" si="6">ROUND($C45,-3)</f>
        <v>0</v>
      </c>
    </row>
    <row r="46" spans="1:12" x14ac:dyDescent="0.2">
      <c r="A46" s="77" t="str">
        <f>LEFT(A45,4)+1&amp;"–"&amp;RIGHT(A45,4)+1</f>
        <v>2027–2028</v>
      </c>
      <c r="B46" s="89"/>
      <c r="C46" s="89"/>
      <c r="D46" s="412"/>
      <c r="E46" s="412"/>
      <c r="F46" s="412"/>
      <c r="J46" s="335" t="str">
        <f t="shared" si="4"/>
        <v>2027–2028</v>
      </c>
      <c r="K46" s="336">
        <f t="shared" si="5"/>
        <v>0</v>
      </c>
      <c r="L46" s="339">
        <f t="shared" si="6"/>
        <v>0</v>
      </c>
    </row>
    <row r="47" spans="1:12" ht="15" customHeight="1" x14ac:dyDescent="0.2">
      <c r="A47" s="77" t="str">
        <f>LEFT(A46,4)+1&amp;"–"&amp;RIGHT(A46,4)+1</f>
        <v>2028–2029</v>
      </c>
      <c r="B47" s="89"/>
      <c r="C47" s="89"/>
      <c r="D47" s="416" t="str">
        <f>"If yes, record the dollar amount of variable payments below for fiscal year "&amp;$B$8&amp;":"</f>
        <v>If yes, record the dollar amount of variable payments below for fiscal year 2024–2025:</v>
      </c>
      <c r="E47" s="416"/>
      <c r="F47" s="416"/>
      <c r="J47" s="335" t="str">
        <f t="shared" si="4"/>
        <v>2028–2029</v>
      </c>
      <c r="K47" s="336">
        <f t="shared" si="5"/>
        <v>0</v>
      </c>
      <c r="L47" s="339">
        <f t="shared" si="6"/>
        <v>0</v>
      </c>
    </row>
    <row r="48" spans="1:12" ht="15" customHeight="1" x14ac:dyDescent="0.2">
      <c r="A48" s="77" t="str">
        <f>LEFT(A47,4)+1&amp;"–"&amp;RIGHT(A47,4)+1</f>
        <v>2029–2030</v>
      </c>
      <c r="B48" s="89"/>
      <c r="C48" s="89"/>
      <c r="D48" s="412" t="str">
        <f>IF(D46="","",IF(D46="No",0,"Please enter the amount here."))</f>
        <v/>
      </c>
      <c r="E48" s="412"/>
      <c r="F48" s="412"/>
      <c r="J48" s="335" t="str">
        <f t="shared" si="4"/>
        <v>2029–2030</v>
      </c>
      <c r="K48" s="336">
        <f t="shared" si="5"/>
        <v>0</v>
      </c>
      <c r="L48" s="339">
        <f t="shared" si="6"/>
        <v>0</v>
      </c>
    </row>
    <row r="49" spans="1:12" ht="15" customHeight="1" x14ac:dyDescent="0.2">
      <c r="A49" s="77" t="str">
        <f>LEFT(A48,4)+1&amp;"–"&amp;RIGHT(A48,4)+5</f>
        <v>2030–2035</v>
      </c>
      <c r="B49" s="89"/>
      <c r="C49" s="89"/>
      <c r="D49" s="413" t="s">
        <v>8</v>
      </c>
      <c r="E49" s="414"/>
      <c r="F49" s="414"/>
      <c r="J49" s="335" t="str">
        <f t="shared" si="4"/>
        <v>2030–2035</v>
      </c>
      <c r="K49" s="336">
        <f t="shared" si="5"/>
        <v>0</v>
      </c>
      <c r="L49" s="339">
        <f t="shared" si="6"/>
        <v>0</v>
      </c>
    </row>
    <row r="50" spans="1:12" x14ac:dyDescent="0.2">
      <c r="A50" s="77" t="str">
        <f t="shared" ref="A50:A63" si="7">LEFT(A49,4)+5&amp;"–"&amp;RIGHT(A49,4)+5</f>
        <v>2035–2040</v>
      </c>
      <c r="B50" s="89"/>
      <c r="C50" s="89"/>
      <c r="D50" s="413"/>
      <c r="E50" s="414"/>
      <c r="F50" s="414"/>
      <c r="J50" s="335" t="str">
        <f t="shared" si="4"/>
        <v>2035–2040</v>
      </c>
      <c r="K50" s="336">
        <f t="shared" si="5"/>
        <v>0</v>
      </c>
      <c r="L50" s="339">
        <f t="shared" si="6"/>
        <v>0</v>
      </c>
    </row>
    <row r="51" spans="1:12" ht="15" customHeight="1" x14ac:dyDescent="0.2">
      <c r="A51" s="77" t="str">
        <f t="shared" si="7"/>
        <v>2040–2045</v>
      </c>
      <c r="B51" s="89"/>
      <c r="C51" s="89"/>
      <c r="D51" s="412"/>
      <c r="E51" s="412"/>
      <c r="F51" s="412"/>
      <c r="J51" s="335" t="str">
        <f t="shared" si="4"/>
        <v>2040–2045</v>
      </c>
      <c r="K51" s="336">
        <f t="shared" si="5"/>
        <v>0</v>
      </c>
      <c r="L51" s="339">
        <f t="shared" si="6"/>
        <v>0</v>
      </c>
    </row>
    <row r="52" spans="1:12" ht="15" customHeight="1" x14ac:dyDescent="0.2">
      <c r="A52" s="77" t="str">
        <f t="shared" si="7"/>
        <v>2045–2050</v>
      </c>
      <c r="B52" s="89"/>
      <c r="C52" s="89"/>
      <c r="D52" s="415" t="str">
        <f>"If yes, record the dollar amount of any payments made for residual value guarantees below for fiscal year "&amp;$B$8&amp;":"</f>
        <v>If yes, record the dollar amount of any payments made for residual value guarantees below for fiscal year 2024–2025:</v>
      </c>
      <c r="E52" s="416"/>
      <c r="F52" s="416"/>
      <c r="J52" s="335" t="str">
        <f t="shared" si="4"/>
        <v>2045–2050</v>
      </c>
      <c r="K52" s="336">
        <f t="shared" si="5"/>
        <v>0</v>
      </c>
      <c r="L52" s="339">
        <f t="shared" si="6"/>
        <v>0</v>
      </c>
    </row>
    <row r="53" spans="1:12" x14ac:dyDescent="0.2">
      <c r="A53" s="77" t="str">
        <f t="shared" si="7"/>
        <v>2050–2055</v>
      </c>
      <c r="B53" s="89"/>
      <c r="C53" s="89"/>
      <c r="D53" s="412" t="str">
        <f>IF(D51="","",IF(D51="No",0,"Please enter the amount here."))</f>
        <v/>
      </c>
      <c r="E53" s="412"/>
      <c r="F53" s="412"/>
      <c r="J53" s="335" t="str">
        <f t="shared" si="4"/>
        <v>2050–2055</v>
      </c>
      <c r="K53" s="336">
        <f t="shared" si="5"/>
        <v>0</v>
      </c>
      <c r="L53" s="339">
        <f t="shared" si="6"/>
        <v>0</v>
      </c>
    </row>
    <row r="54" spans="1:12" x14ac:dyDescent="0.2">
      <c r="A54" s="77" t="str">
        <f t="shared" si="7"/>
        <v>2055–2060</v>
      </c>
      <c r="B54" s="89"/>
      <c r="C54" s="89"/>
      <c r="D54" s="413" t="str">
        <f>"3. Were any other payments for your leases, such as termination penalties, not previously recorded in the payment schedule for fiscal year "&amp;$B$8&amp;":"</f>
        <v>3. Were any other payments for your leases, such as termination penalties, not previously recorded in the payment schedule for fiscal year 2024–2025:</v>
      </c>
      <c r="E54" s="414"/>
      <c r="F54" s="414"/>
      <c r="J54" s="335" t="str">
        <f t="shared" si="4"/>
        <v>2055–2060</v>
      </c>
      <c r="K54" s="336">
        <f t="shared" si="5"/>
        <v>0</v>
      </c>
      <c r="L54" s="339">
        <f t="shared" si="6"/>
        <v>0</v>
      </c>
    </row>
    <row r="55" spans="1:12" ht="15" customHeight="1" x14ac:dyDescent="0.2">
      <c r="A55" s="77" t="str">
        <f t="shared" si="7"/>
        <v>2060–2065</v>
      </c>
      <c r="B55" s="89"/>
      <c r="C55" s="89"/>
      <c r="D55" s="413"/>
      <c r="E55" s="414"/>
      <c r="F55" s="414"/>
      <c r="J55" s="335" t="str">
        <f t="shared" si="4"/>
        <v>2060–2065</v>
      </c>
      <c r="K55" s="336">
        <f t="shared" si="5"/>
        <v>0</v>
      </c>
      <c r="L55" s="339">
        <f t="shared" si="6"/>
        <v>0</v>
      </c>
    </row>
    <row r="56" spans="1:12" ht="15" customHeight="1" x14ac:dyDescent="0.2">
      <c r="A56" s="77" t="str">
        <f t="shared" si="7"/>
        <v>2065–2070</v>
      </c>
      <c r="B56" s="89"/>
      <c r="C56" s="89"/>
      <c r="D56" s="412"/>
      <c r="E56" s="412"/>
      <c r="F56" s="412"/>
      <c r="J56" s="335" t="str">
        <f t="shared" si="4"/>
        <v>2065–2070</v>
      </c>
      <c r="K56" s="336">
        <f t="shared" si="5"/>
        <v>0</v>
      </c>
      <c r="L56" s="339">
        <f t="shared" si="6"/>
        <v>0</v>
      </c>
    </row>
    <row r="57" spans="1:12" x14ac:dyDescent="0.2">
      <c r="A57" s="77" t="str">
        <f t="shared" si="7"/>
        <v>2070–2075</v>
      </c>
      <c r="B57" s="89"/>
      <c r="C57" s="89"/>
      <c r="D57" s="1" t="s">
        <v>1841</v>
      </c>
      <c r="E57" s="370"/>
      <c r="F57" s="370"/>
      <c r="J57" s="335" t="str">
        <f t="shared" si="4"/>
        <v>2070–2075</v>
      </c>
      <c r="K57" s="336">
        <f t="shared" si="5"/>
        <v>0</v>
      </c>
      <c r="L57" s="339">
        <f t="shared" si="6"/>
        <v>0</v>
      </c>
    </row>
    <row r="58" spans="1:12" ht="15" customHeight="1" x14ac:dyDescent="0.2">
      <c r="A58" s="77" t="str">
        <f t="shared" si="7"/>
        <v>2075–2080</v>
      </c>
      <c r="B58" s="89"/>
      <c r="C58" s="89"/>
      <c r="D58" s="412" t="str">
        <f>IF(D56="","",IF(D56="No",0,"Please enter the amount here."))</f>
        <v/>
      </c>
      <c r="E58" s="412"/>
      <c r="F58" s="412"/>
      <c r="J58" s="335" t="str">
        <f t="shared" si="4"/>
        <v>2075–2080</v>
      </c>
      <c r="K58" s="336">
        <f t="shared" si="5"/>
        <v>0</v>
      </c>
      <c r="L58" s="339">
        <f t="shared" si="6"/>
        <v>0</v>
      </c>
    </row>
    <row r="59" spans="1:12" x14ac:dyDescent="0.2">
      <c r="A59" s="77" t="str">
        <f t="shared" si="7"/>
        <v>2080–2085</v>
      </c>
      <c r="B59" s="89"/>
      <c r="C59" s="89"/>
      <c r="D59" s="413" t="str">
        <f>"4. Did you receive any lease incentives from the lessor (not already included in the lease measurment) during fiscal year "&amp;$B$8&amp;"? "</f>
        <v xml:space="preserve">4. Did you receive any lease incentives from the lessor (not already included in the lease measurment) during fiscal year 2024–2025? </v>
      </c>
      <c r="E59" s="414"/>
      <c r="F59" s="414"/>
      <c r="J59" s="335" t="str">
        <f t="shared" si="4"/>
        <v>2080–2085</v>
      </c>
      <c r="K59" s="336">
        <f t="shared" si="5"/>
        <v>0</v>
      </c>
      <c r="L59" s="339">
        <f t="shared" si="6"/>
        <v>0</v>
      </c>
    </row>
    <row r="60" spans="1:12" ht="15" customHeight="1" x14ac:dyDescent="0.2">
      <c r="A60" s="77" t="str">
        <f t="shared" si="7"/>
        <v>2085–2090</v>
      </c>
      <c r="B60" s="89"/>
      <c r="C60" s="89"/>
      <c r="D60" s="413"/>
      <c r="E60" s="414"/>
      <c r="F60" s="414"/>
      <c r="J60" s="335" t="str">
        <f t="shared" si="4"/>
        <v>2085–2090</v>
      </c>
      <c r="K60" s="336">
        <f t="shared" si="5"/>
        <v>0</v>
      </c>
      <c r="L60" s="339">
        <f t="shared" si="6"/>
        <v>0</v>
      </c>
    </row>
    <row r="61" spans="1:12" x14ac:dyDescent="0.2">
      <c r="A61" s="77" t="str">
        <f t="shared" si="7"/>
        <v>2090–2095</v>
      </c>
      <c r="B61" s="89"/>
      <c r="C61" s="89"/>
      <c r="D61" s="412"/>
      <c r="E61" s="412"/>
      <c r="F61" s="412"/>
      <c r="J61" s="335" t="str">
        <f t="shared" si="4"/>
        <v>2090–2095</v>
      </c>
      <c r="K61" s="336">
        <f t="shared" si="5"/>
        <v>0</v>
      </c>
      <c r="L61" s="339">
        <f t="shared" si="6"/>
        <v>0</v>
      </c>
    </row>
    <row r="62" spans="1:12" x14ac:dyDescent="0.2">
      <c r="A62" s="77" t="str">
        <f t="shared" si="7"/>
        <v>2095–2100</v>
      </c>
      <c r="B62" s="89"/>
      <c r="C62" s="89"/>
      <c r="D62" s="1" t="str">
        <f>"If yes, record the dollar amount for fiscal year "&amp;$B$8&amp;":"</f>
        <v>If yes, record the dollar amount for fiscal year 2024–2025:</v>
      </c>
      <c r="J62" s="335" t="str">
        <f t="shared" si="4"/>
        <v>2095–2100</v>
      </c>
      <c r="K62" s="336">
        <f t="shared" si="5"/>
        <v>0</v>
      </c>
      <c r="L62" s="339">
        <f t="shared" si="6"/>
        <v>0</v>
      </c>
    </row>
    <row r="63" spans="1:12" x14ac:dyDescent="0.2">
      <c r="A63" s="77" t="str">
        <f t="shared" si="7"/>
        <v>2100–2105</v>
      </c>
      <c r="B63" s="89"/>
      <c r="C63" s="89"/>
      <c r="D63" s="412" t="str">
        <f>IF(D61="","",IF(D61="No",0,"Please enter the amount here."))</f>
        <v/>
      </c>
      <c r="E63" s="412"/>
      <c r="F63" s="412"/>
      <c r="J63" s="335" t="str">
        <f t="shared" si="4"/>
        <v>2100–2105</v>
      </c>
      <c r="K63" s="336">
        <f t="shared" si="5"/>
        <v>0</v>
      </c>
      <c r="L63" s="339">
        <f t="shared" si="6"/>
        <v>0</v>
      </c>
    </row>
    <row r="64" spans="1:12" x14ac:dyDescent="0.2">
      <c r="A64" s="77" t="str">
        <f>LEFT(A63,4)+5&amp;"–"&amp;RIGHT(A63,4)+5</f>
        <v>2105–2110</v>
      </c>
      <c r="B64" s="89"/>
      <c r="C64" s="89"/>
      <c r="D64" s="423" t="str">
        <f>CONCATENATE("5. Are there any lease commitments known that have yet to commence as of June 30, ",RIGHT(B39,4),"?")</f>
        <v>5. Are there any lease commitments known that have yet to commence as of June 30, 2025?</v>
      </c>
      <c r="E64" s="424"/>
      <c r="F64" s="424"/>
      <c r="J64" s="335" t="str">
        <f t="shared" si="4"/>
        <v>2105–2110</v>
      </c>
      <c r="K64" s="336">
        <f t="shared" si="5"/>
        <v>0</v>
      </c>
      <c r="L64" s="339">
        <f t="shared" si="6"/>
        <v>0</v>
      </c>
    </row>
    <row r="65" spans="1:12" x14ac:dyDescent="0.2">
      <c r="A65" s="77" t="str">
        <f>LEFT(A64,4)+5&amp;"–"&amp;RIGHT(A64,4)+5</f>
        <v>2110–2115</v>
      </c>
      <c r="B65" s="89"/>
      <c r="C65" s="89"/>
      <c r="D65" s="412"/>
      <c r="E65" s="412"/>
      <c r="F65" s="412"/>
      <c r="J65" s="335" t="str">
        <f t="shared" si="4"/>
        <v>2110–2115</v>
      </c>
      <c r="K65" s="336">
        <f t="shared" si="5"/>
        <v>0</v>
      </c>
      <c r="L65" s="339">
        <f t="shared" si="6"/>
        <v>0</v>
      </c>
    </row>
    <row r="66" spans="1:12" x14ac:dyDescent="0.2">
      <c r="A66" s="77" t="str">
        <f>LEFT(A65,4)+5&amp;"–"&amp;RIGHT(A65,4)+5</f>
        <v>2115–2120</v>
      </c>
      <c r="B66" s="89"/>
      <c r="C66" s="89"/>
      <c r="D66" s="90" t="str">
        <f>"If yes, record the dollar amount of any lease commitments not commenced below for fiscal year "&amp;A44&amp;"."</f>
        <v>If yes, record the dollar amount of any lease commitments not commenced below for fiscal year 2025–2026.</v>
      </c>
      <c r="E66" s="55"/>
      <c r="F66" s="55"/>
      <c r="J66" s="335" t="str">
        <f t="shared" si="4"/>
        <v>2115–2120</v>
      </c>
      <c r="K66" s="336">
        <f t="shared" si="5"/>
        <v>0</v>
      </c>
      <c r="L66" s="339">
        <f t="shared" si="6"/>
        <v>0</v>
      </c>
    </row>
    <row r="67" spans="1:12" x14ac:dyDescent="0.2">
      <c r="A67" s="77" t="str">
        <f>LEFT(A66,4)+5&amp;"–"&amp;RIGHT(A66,4)+5</f>
        <v>2120–2125</v>
      </c>
      <c r="B67" s="89"/>
      <c r="C67" s="89"/>
      <c r="D67" s="412" t="str">
        <f>IF(D65="","",IF(D65="No",0,"Please enter the amount here."))</f>
        <v/>
      </c>
      <c r="E67" s="412"/>
      <c r="F67" s="412"/>
      <c r="J67" s="328"/>
      <c r="K67" s="338"/>
      <c r="L67" s="327"/>
    </row>
    <row r="68" spans="1:12" ht="15.75" x14ac:dyDescent="0.25">
      <c r="D68" s="364" t="str">
        <f>IF(OR(D46="",D51="",D56="",D61="",D65=""),"Please answer the Department Note Disclosure Questionnaire for Internal Service Funds.","")</f>
        <v>Please answer the Department Note Disclosure Questionnaire for Internal Service Funds.</v>
      </c>
      <c r="F68" s="371"/>
      <c r="J68" s="326"/>
      <c r="K68" s="338"/>
      <c r="L68" s="327"/>
    </row>
    <row r="69" spans="1:12" ht="20.25" x14ac:dyDescent="0.3">
      <c r="A69" s="139" t="s">
        <v>147</v>
      </c>
      <c r="J69" s="326" t="str">
        <f>A69</f>
        <v>III. Proprietary - ENTERPRISE FUNDS</v>
      </c>
      <c r="K69" s="372"/>
      <c r="L69" s="373"/>
    </row>
    <row r="70" spans="1:12" ht="15.75" x14ac:dyDescent="0.25">
      <c r="A70" s="12" t="s">
        <v>12</v>
      </c>
      <c r="B70" s="427" t="str">
        <f>B8</f>
        <v>2024–2025</v>
      </c>
      <c r="C70" s="427"/>
      <c r="J70" s="328"/>
      <c r="K70" s="374"/>
      <c r="L70" s="375"/>
    </row>
    <row r="71" spans="1:12" ht="15.75" x14ac:dyDescent="0.25">
      <c r="A71" s="12" t="s">
        <v>207</v>
      </c>
      <c r="B71" s="429">
        <f>B9</f>
        <v>0</v>
      </c>
      <c r="C71" s="429"/>
      <c r="J71" s="328"/>
      <c r="K71" s="374"/>
      <c r="L71" s="375"/>
    </row>
    <row r="72" spans="1:12" ht="18" x14ac:dyDescent="0.25">
      <c r="A72" s="12" t="s">
        <v>206</v>
      </c>
      <c r="B72" s="427">
        <f>B10</f>
        <v>0</v>
      </c>
      <c r="C72" s="427"/>
      <c r="D72" s="378" t="str" cm="1">
        <f t="array" ref="D72">IF(AND(SUMPRODUCT(--ISNUMBER(B75:B98))&gt;0, OR(D77="", D82="", D87="", D92="", D97="")), "Please answer all five questions below.", "")</f>
        <v/>
      </c>
      <c r="J72" s="376"/>
      <c r="K72" s="337"/>
      <c r="L72" s="331"/>
    </row>
    <row r="73" spans="1:12" ht="32.25" customHeight="1" x14ac:dyDescent="0.25">
      <c r="A73" s="425" t="s">
        <v>1744</v>
      </c>
      <c r="B73" s="426"/>
      <c r="C73" s="426"/>
      <c r="D73" s="5"/>
      <c r="E73" s="5"/>
      <c r="F73" s="5"/>
      <c r="G73" s="56"/>
      <c r="H73" s="56"/>
      <c r="I73" s="56"/>
      <c r="J73" s="376"/>
      <c r="K73" s="337" t="s">
        <v>1796</v>
      </c>
      <c r="L73" s="377"/>
    </row>
    <row r="74" spans="1:12" ht="15.75" x14ac:dyDescent="0.25">
      <c r="A74" s="77"/>
      <c r="B74" s="78" t="s">
        <v>10</v>
      </c>
      <c r="C74" s="78" t="s">
        <v>11</v>
      </c>
      <c r="D74" s="428" t="str">
        <f>"All of the below questions are for Fiscal Year "&amp;$B$8&amp;":"</f>
        <v>All of the below questions are for Fiscal Year 2024–2025:</v>
      </c>
      <c r="E74" s="428"/>
      <c r="F74" s="428"/>
      <c r="J74" s="332"/>
      <c r="K74" s="333" t="str">
        <f>B74</f>
        <v>Principal Payments</v>
      </c>
      <c r="L74" s="334" t="str">
        <f>C74</f>
        <v>Interest Payments</v>
      </c>
    </row>
    <row r="75" spans="1:12" ht="15" customHeight="1" x14ac:dyDescent="0.2">
      <c r="A75" s="77" t="str">
        <f>RIGHT(B70,4)&amp;"–"&amp;RIGHT(B70,4)+1</f>
        <v>2025–2026</v>
      </c>
      <c r="B75" s="89"/>
      <c r="C75" s="89"/>
      <c r="D75" s="413" t="s">
        <v>6</v>
      </c>
      <c r="E75" s="414"/>
      <c r="F75" s="414"/>
      <c r="J75" s="335" t="str">
        <f>$A75</f>
        <v>2025–2026</v>
      </c>
      <c r="K75" s="336">
        <f>ROUND($B75,-3)</f>
        <v>0</v>
      </c>
      <c r="L75" s="339">
        <f>ROUND($C75,-3)</f>
        <v>0</v>
      </c>
    </row>
    <row r="76" spans="1:12" x14ac:dyDescent="0.2">
      <c r="A76" s="77" t="str">
        <f>LEFT(A75,4)+1&amp;"–"&amp;RIGHT(A75,4)+1</f>
        <v>2026–2027</v>
      </c>
      <c r="B76" s="89"/>
      <c r="C76" s="89"/>
      <c r="D76" s="413"/>
      <c r="E76" s="414"/>
      <c r="F76" s="414"/>
      <c r="J76" s="335" t="str">
        <f t="shared" ref="J76:J97" si="8">$A76</f>
        <v>2026–2027</v>
      </c>
      <c r="K76" s="336">
        <f t="shared" ref="K76:K97" si="9">ROUND($B76,-3)</f>
        <v>0</v>
      </c>
      <c r="L76" s="339">
        <f t="shared" ref="L76:L97" si="10">ROUND($C76,-3)</f>
        <v>0</v>
      </c>
    </row>
    <row r="77" spans="1:12" x14ac:dyDescent="0.2">
      <c r="A77" s="77" t="str">
        <f>LEFT(A76,4)+1&amp;"–"&amp;RIGHT(A76,4)+1</f>
        <v>2027–2028</v>
      </c>
      <c r="B77" s="89"/>
      <c r="C77" s="89"/>
      <c r="D77" s="412"/>
      <c r="E77" s="412"/>
      <c r="F77" s="412"/>
      <c r="J77" s="335" t="str">
        <f t="shared" si="8"/>
        <v>2027–2028</v>
      </c>
      <c r="K77" s="336">
        <f t="shared" si="9"/>
        <v>0</v>
      </c>
      <c r="L77" s="339">
        <f t="shared" si="10"/>
        <v>0</v>
      </c>
    </row>
    <row r="78" spans="1:12" ht="15" customHeight="1" x14ac:dyDescent="0.2">
      <c r="A78" s="77" t="str">
        <f>LEFT(A77,4)+1&amp;"–"&amp;RIGHT(A77,4)+1</f>
        <v>2028–2029</v>
      </c>
      <c r="B78" s="89"/>
      <c r="C78" s="89"/>
      <c r="D78" s="416" t="str">
        <f>"If yes, record the dollar amount of variable payments below for fiscal year "&amp;$B$8&amp;":"</f>
        <v>If yes, record the dollar amount of variable payments below for fiscal year 2024–2025:</v>
      </c>
      <c r="E78" s="416"/>
      <c r="F78" s="416"/>
      <c r="J78" s="335" t="str">
        <f t="shared" si="8"/>
        <v>2028–2029</v>
      </c>
      <c r="K78" s="336">
        <f t="shared" si="9"/>
        <v>0</v>
      </c>
      <c r="L78" s="339">
        <f t="shared" si="10"/>
        <v>0</v>
      </c>
    </row>
    <row r="79" spans="1:12" x14ac:dyDescent="0.2">
      <c r="A79" s="77" t="str">
        <f>LEFT(A78,4)+1&amp;"–"&amp;RIGHT(A78,4)+1</f>
        <v>2029–2030</v>
      </c>
      <c r="B79" s="89"/>
      <c r="C79" s="89"/>
      <c r="D79" s="412" t="str">
        <f>IF(D77="","",IF(D77="No",0,"Please enter the amount here."))</f>
        <v/>
      </c>
      <c r="E79" s="412"/>
      <c r="F79" s="412"/>
      <c r="J79" s="335" t="str">
        <f t="shared" si="8"/>
        <v>2029–2030</v>
      </c>
      <c r="K79" s="336">
        <f t="shared" si="9"/>
        <v>0</v>
      </c>
      <c r="L79" s="339">
        <f t="shared" si="10"/>
        <v>0</v>
      </c>
    </row>
    <row r="80" spans="1:12" ht="15" customHeight="1" x14ac:dyDescent="0.2">
      <c r="A80" s="77" t="str">
        <f>LEFT(A79,4)+1&amp;"–"&amp;RIGHT(A79,4)+5</f>
        <v>2030–2035</v>
      </c>
      <c r="B80" s="89"/>
      <c r="C80" s="89"/>
      <c r="D80" s="413" t="s">
        <v>8</v>
      </c>
      <c r="E80" s="414"/>
      <c r="F80" s="414"/>
      <c r="J80" s="335" t="str">
        <f t="shared" si="8"/>
        <v>2030–2035</v>
      </c>
      <c r="K80" s="336">
        <f t="shared" si="9"/>
        <v>0</v>
      </c>
      <c r="L80" s="339">
        <f t="shared" si="10"/>
        <v>0</v>
      </c>
    </row>
    <row r="81" spans="1:12" x14ac:dyDescent="0.2">
      <c r="A81" s="77" t="str">
        <f t="shared" ref="A81:A94" si="11">LEFT(A80,4)+5&amp;"–"&amp;RIGHT(A80,4)+5</f>
        <v>2035–2040</v>
      </c>
      <c r="B81" s="89"/>
      <c r="C81" s="89"/>
      <c r="D81" s="413"/>
      <c r="E81" s="414"/>
      <c r="F81" s="414"/>
      <c r="J81" s="335" t="str">
        <f t="shared" si="8"/>
        <v>2035–2040</v>
      </c>
      <c r="K81" s="336">
        <f t="shared" si="9"/>
        <v>0</v>
      </c>
      <c r="L81" s="339">
        <f t="shared" si="10"/>
        <v>0</v>
      </c>
    </row>
    <row r="82" spans="1:12" x14ac:dyDescent="0.2">
      <c r="A82" s="77" t="str">
        <f t="shared" si="11"/>
        <v>2040–2045</v>
      </c>
      <c r="B82" s="89"/>
      <c r="C82" s="89"/>
      <c r="D82" s="412"/>
      <c r="E82" s="412"/>
      <c r="F82" s="412"/>
      <c r="J82" s="335" t="str">
        <f t="shared" si="8"/>
        <v>2040–2045</v>
      </c>
      <c r="K82" s="336">
        <f t="shared" si="9"/>
        <v>0</v>
      </c>
      <c r="L82" s="339">
        <f t="shared" si="10"/>
        <v>0</v>
      </c>
    </row>
    <row r="83" spans="1:12" ht="15" customHeight="1" x14ac:dyDescent="0.2">
      <c r="A83" s="77" t="str">
        <f t="shared" si="11"/>
        <v>2045–2050</v>
      </c>
      <c r="B83" s="89"/>
      <c r="C83" s="89"/>
      <c r="D83" s="415" t="str">
        <f>"If yes, record the dollar amount of any payments made for residual value guarantees below for fiscal year "&amp;$B$8&amp;":"</f>
        <v>If yes, record the dollar amount of any payments made for residual value guarantees below for fiscal year 2024–2025:</v>
      </c>
      <c r="E83" s="416"/>
      <c r="F83" s="416"/>
      <c r="J83" s="335" t="str">
        <f t="shared" si="8"/>
        <v>2045–2050</v>
      </c>
      <c r="K83" s="336">
        <f t="shared" si="9"/>
        <v>0</v>
      </c>
      <c r="L83" s="339">
        <f t="shared" si="10"/>
        <v>0</v>
      </c>
    </row>
    <row r="84" spans="1:12" x14ac:dyDescent="0.2">
      <c r="A84" s="77" t="str">
        <f t="shared" si="11"/>
        <v>2050–2055</v>
      </c>
      <c r="B84" s="89"/>
      <c r="C84" s="89"/>
      <c r="D84" s="412" t="str">
        <f>IF(D82="","",IF(D82="No",0,"Please enter the amount here."))</f>
        <v/>
      </c>
      <c r="E84" s="412"/>
      <c r="F84" s="412"/>
      <c r="J84" s="335" t="str">
        <f t="shared" si="8"/>
        <v>2050–2055</v>
      </c>
      <c r="K84" s="336">
        <f t="shared" si="9"/>
        <v>0</v>
      </c>
      <c r="L84" s="339">
        <f t="shared" si="10"/>
        <v>0</v>
      </c>
    </row>
    <row r="85" spans="1:12" x14ac:dyDescent="0.2">
      <c r="A85" s="77" t="str">
        <f t="shared" si="11"/>
        <v>2055–2060</v>
      </c>
      <c r="B85" s="89"/>
      <c r="C85" s="89"/>
      <c r="D85" s="413" t="str">
        <f>"3. Were any other payments for your leases, such as termination penalties, not previously recorded in the payment schedule for fiscal year "&amp;$B$8&amp;":"</f>
        <v>3. Were any other payments for your leases, such as termination penalties, not previously recorded in the payment schedule for fiscal year 2024–2025:</v>
      </c>
      <c r="E85" s="414"/>
      <c r="F85" s="414"/>
      <c r="J85" s="335" t="str">
        <f t="shared" si="8"/>
        <v>2055–2060</v>
      </c>
      <c r="K85" s="336">
        <f t="shared" si="9"/>
        <v>0</v>
      </c>
      <c r="L85" s="339">
        <f t="shared" si="10"/>
        <v>0</v>
      </c>
    </row>
    <row r="86" spans="1:12" ht="15" customHeight="1" x14ac:dyDescent="0.2">
      <c r="A86" s="77" t="str">
        <f t="shared" si="11"/>
        <v>2060–2065</v>
      </c>
      <c r="B86" s="89"/>
      <c r="C86" s="89"/>
      <c r="D86" s="413"/>
      <c r="E86" s="414"/>
      <c r="F86" s="414"/>
      <c r="J86" s="335" t="str">
        <f t="shared" si="8"/>
        <v>2060–2065</v>
      </c>
      <c r="K86" s="336">
        <f t="shared" si="9"/>
        <v>0</v>
      </c>
      <c r="L86" s="339">
        <f t="shared" si="10"/>
        <v>0</v>
      </c>
    </row>
    <row r="87" spans="1:12" x14ac:dyDescent="0.2">
      <c r="A87" s="77" t="str">
        <f t="shared" si="11"/>
        <v>2065–2070</v>
      </c>
      <c r="B87" s="89"/>
      <c r="C87" s="89"/>
      <c r="D87" s="412"/>
      <c r="E87" s="412"/>
      <c r="F87" s="412"/>
      <c r="J87" s="335" t="str">
        <f t="shared" si="8"/>
        <v>2065–2070</v>
      </c>
      <c r="K87" s="336">
        <f t="shared" si="9"/>
        <v>0</v>
      </c>
      <c r="L87" s="339">
        <f t="shared" si="10"/>
        <v>0</v>
      </c>
    </row>
    <row r="88" spans="1:12" x14ac:dyDescent="0.2">
      <c r="A88" s="77" t="str">
        <f t="shared" si="11"/>
        <v>2070–2075</v>
      </c>
      <c r="B88" s="89"/>
      <c r="C88" s="89"/>
      <c r="D88" s="1" t="s">
        <v>1841</v>
      </c>
      <c r="E88" s="370"/>
      <c r="F88" s="370"/>
      <c r="J88" s="335" t="str">
        <f t="shared" si="8"/>
        <v>2070–2075</v>
      </c>
      <c r="K88" s="336">
        <f t="shared" si="9"/>
        <v>0</v>
      </c>
      <c r="L88" s="339">
        <f t="shared" si="10"/>
        <v>0</v>
      </c>
    </row>
    <row r="89" spans="1:12" ht="15" customHeight="1" x14ac:dyDescent="0.2">
      <c r="A89" s="77" t="str">
        <f t="shared" si="11"/>
        <v>2075–2080</v>
      </c>
      <c r="B89" s="89"/>
      <c r="C89" s="89"/>
      <c r="D89" s="412" t="str">
        <f>IF(D87="","",IF(D87="No",0,"Please enter the amount here."))</f>
        <v/>
      </c>
      <c r="E89" s="412"/>
      <c r="F89" s="412"/>
      <c r="J89" s="335" t="str">
        <f t="shared" si="8"/>
        <v>2075–2080</v>
      </c>
      <c r="K89" s="336">
        <f t="shared" si="9"/>
        <v>0</v>
      </c>
      <c r="L89" s="339">
        <f t="shared" si="10"/>
        <v>0</v>
      </c>
    </row>
    <row r="90" spans="1:12" x14ac:dyDescent="0.2">
      <c r="A90" s="77" t="str">
        <f t="shared" si="11"/>
        <v>2080–2085</v>
      </c>
      <c r="B90" s="89"/>
      <c r="C90" s="89"/>
      <c r="D90" s="413" t="str">
        <f>"4. Did you receive any lease incentives from the lessor (not already included in the lease measurment) during fiscal year "&amp;$B$8&amp;"? "</f>
        <v xml:space="preserve">4. Did you receive any lease incentives from the lessor (not already included in the lease measurment) during fiscal year 2024–2025? </v>
      </c>
      <c r="E90" s="414"/>
      <c r="F90" s="414"/>
      <c r="J90" s="335" t="str">
        <f t="shared" si="8"/>
        <v>2080–2085</v>
      </c>
      <c r="K90" s="336">
        <f t="shared" si="9"/>
        <v>0</v>
      </c>
      <c r="L90" s="339">
        <f t="shared" si="10"/>
        <v>0</v>
      </c>
    </row>
    <row r="91" spans="1:12" ht="15" customHeight="1" x14ac:dyDescent="0.2">
      <c r="A91" s="77" t="str">
        <f t="shared" si="11"/>
        <v>2085–2090</v>
      </c>
      <c r="B91" s="89"/>
      <c r="C91" s="89"/>
      <c r="D91" s="413"/>
      <c r="E91" s="414"/>
      <c r="F91" s="414"/>
      <c r="J91" s="335" t="str">
        <f t="shared" si="8"/>
        <v>2085–2090</v>
      </c>
      <c r="K91" s="336">
        <f t="shared" si="9"/>
        <v>0</v>
      </c>
      <c r="L91" s="339">
        <f t="shared" si="10"/>
        <v>0</v>
      </c>
    </row>
    <row r="92" spans="1:12" x14ac:dyDescent="0.2">
      <c r="A92" s="77" t="str">
        <f t="shared" si="11"/>
        <v>2090–2095</v>
      </c>
      <c r="B92" s="89"/>
      <c r="C92" s="89"/>
      <c r="D92" s="412"/>
      <c r="E92" s="412"/>
      <c r="F92" s="412"/>
      <c r="J92" s="335" t="str">
        <f t="shared" si="8"/>
        <v>2090–2095</v>
      </c>
      <c r="K92" s="336">
        <f t="shared" si="9"/>
        <v>0</v>
      </c>
      <c r="L92" s="339">
        <f t="shared" si="10"/>
        <v>0</v>
      </c>
    </row>
    <row r="93" spans="1:12" x14ac:dyDescent="0.2">
      <c r="A93" s="77" t="str">
        <f t="shared" si="11"/>
        <v>2095–2100</v>
      </c>
      <c r="B93" s="89"/>
      <c r="C93" s="89"/>
      <c r="D93" s="1" t="str">
        <f>"If yes, record the dollar amount for fiscal year "&amp;$B$8&amp;":"</f>
        <v>If yes, record the dollar amount for fiscal year 2024–2025:</v>
      </c>
      <c r="J93" s="335" t="str">
        <f t="shared" si="8"/>
        <v>2095–2100</v>
      </c>
      <c r="K93" s="336">
        <f t="shared" si="9"/>
        <v>0</v>
      </c>
      <c r="L93" s="339">
        <f t="shared" si="10"/>
        <v>0</v>
      </c>
    </row>
    <row r="94" spans="1:12" x14ac:dyDescent="0.2">
      <c r="A94" s="77" t="str">
        <f t="shared" si="11"/>
        <v>2100–2105</v>
      </c>
      <c r="B94" s="89"/>
      <c r="C94" s="89"/>
      <c r="D94" s="412" t="str">
        <f>IF(D92="","",IF(D92="No",0,"Please enter the amount here."))</f>
        <v/>
      </c>
      <c r="E94" s="412"/>
      <c r="F94" s="412"/>
      <c r="J94" s="335" t="str">
        <f t="shared" si="8"/>
        <v>2100–2105</v>
      </c>
      <c r="K94" s="336">
        <f t="shared" si="9"/>
        <v>0</v>
      </c>
      <c r="L94" s="339">
        <f t="shared" si="10"/>
        <v>0</v>
      </c>
    </row>
    <row r="95" spans="1:12" x14ac:dyDescent="0.2">
      <c r="A95" s="77" t="str">
        <f>LEFT(A94,4)+5&amp;"–"&amp;RIGHT(A94,4)+5</f>
        <v>2105–2110</v>
      </c>
      <c r="B95" s="89"/>
      <c r="C95" s="89"/>
      <c r="D95" s="423" t="str">
        <f>CONCATENATE("5. Are there any lease commitments known that have yet to commence as of June 30, ",RIGHT(B70,4),"?")</f>
        <v>5. Are there any lease commitments known that have yet to commence as of June 30, 2025?</v>
      </c>
      <c r="E95" s="424"/>
      <c r="F95" s="424"/>
      <c r="J95" s="335" t="str">
        <f t="shared" si="8"/>
        <v>2105–2110</v>
      </c>
      <c r="K95" s="336">
        <f t="shared" si="9"/>
        <v>0</v>
      </c>
      <c r="L95" s="339">
        <f t="shared" si="10"/>
        <v>0</v>
      </c>
    </row>
    <row r="96" spans="1:12" x14ac:dyDescent="0.2">
      <c r="A96" s="77" t="str">
        <f>LEFT(A95,4)+5&amp;"–"&amp;RIGHT(A95,4)+5</f>
        <v>2110–2115</v>
      </c>
      <c r="B96" s="89"/>
      <c r="C96" s="89"/>
      <c r="D96" s="412"/>
      <c r="E96" s="412"/>
      <c r="F96" s="412"/>
      <c r="J96" s="335" t="str">
        <f t="shared" si="8"/>
        <v>2110–2115</v>
      </c>
      <c r="K96" s="336">
        <f t="shared" si="9"/>
        <v>0</v>
      </c>
      <c r="L96" s="339">
        <f t="shared" si="10"/>
        <v>0</v>
      </c>
    </row>
    <row r="97" spans="1:12" ht="15.75" thickBot="1" x14ac:dyDescent="0.25">
      <c r="A97" s="77" t="str">
        <f>LEFT(A96,4)+5&amp;"–"&amp;RIGHT(A96,4)+5</f>
        <v>2115–2120</v>
      </c>
      <c r="B97" s="89"/>
      <c r="C97" s="89"/>
      <c r="D97" s="90" t="str">
        <f>"If yes, record the dollar amount of any lease commitments not commenced below for fiscal year "&amp;A75&amp;"."</f>
        <v>If yes, record the dollar amount of any lease commitments not commenced below for fiscal year 2025–2026.</v>
      </c>
      <c r="E97" s="55"/>
      <c r="F97" s="55"/>
      <c r="J97" s="340" t="str">
        <f t="shared" si="8"/>
        <v>2115–2120</v>
      </c>
      <c r="K97" s="341">
        <f t="shared" si="9"/>
        <v>0</v>
      </c>
      <c r="L97" s="342">
        <f t="shared" si="10"/>
        <v>0</v>
      </c>
    </row>
    <row r="98" spans="1:12" x14ac:dyDescent="0.2">
      <c r="A98" s="77" t="str">
        <f>LEFT(A97,4)+5&amp;"–"&amp;RIGHT(A97,4)+5</f>
        <v>2120–2125</v>
      </c>
      <c r="B98" s="89"/>
      <c r="C98" s="89"/>
      <c r="D98" s="412" t="str">
        <f>IF(D96="","",IF(D96="No",0,"Please enter the amount here."))</f>
        <v/>
      </c>
      <c r="E98" s="412"/>
      <c r="F98" s="412"/>
    </row>
    <row r="99" spans="1:12" ht="15.75" x14ac:dyDescent="0.2">
      <c r="D99" s="364" t="str">
        <f>IF(OR(D77="",D82="",D87="",D92="",D96=""),"Please answer the Department Note Disclosure Questionnaire for Enterprise Funds","")</f>
        <v>Please answer the Department Note Disclosure Questionnaire for Enterprise Funds</v>
      </c>
      <c r="F99" s="371"/>
    </row>
  </sheetData>
  <sheetProtection algorithmName="SHA-512" hashValue="q1wAhvfueKQhL0d/jEhA5A/ThQW7cMNhuvPtvgEVhiSQRBJMzM1ihEj/QcC2q6J3jYoSYuiNYPA5cYCYmgDv8g==" saltValue="V4PT6jZAms2vH9YA/PSVJQ==" spinCount="100000" sheet="1" objects="1" scenarios="1"/>
  <mergeCells count="72">
    <mergeCell ref="B39:C39"/>
    <mergeCell ref="A3:C3"/>
    <mergeCell ref="D17:F17"/>
    <mergeCell ref="A5:C5"/>
    <mergeCell ref="A4:C4"/>
    <mergeCell ref="D20:F20"/>
    <mergeCell ref="D15:F15"/>
    <mergeCell ref="D16:F16"/>
    <mergeCell ref="D13:F14"/>
    <mergeCell ref="D18:F19"/>
    <mergeCell ref="D23:F24"/>
    <mergeCell ref="D25:F25"/>
    <mergeCell ref="D32:F32"/>
    <mergeCell ref="D36:F36"/>
    <mergeCell ref="A2:F2"/>
    <mergeCell ref="A1:F1"/>
    <mergeCell ref="B8:C8"/>
    <mergeCell ref="D12:F12"/>
    <mergeCell ref="B9:C9"/>
    <mergeCell ref="B10:C10"/>
    <mergeCell ref="A11:C11"/>
    <mergeCell ref="B40:C40"/>
    <mergeCell ref="B41:C41"/>
    <mergeCell ref="D46:F46"/>
    <mergeCell ref="A42:C42"/>
    <mergeCell ref="D43:F43"/>
    <mergeCell ref="D44:F45"/>
    <mergeCell ref="A73:C73"/>
    <mergeCell ref="D78:F78"/>
    <mergeCell ref="D79:F79"/>
    <mergeCell ref="D82:F82"/>
    <mergeCell ref="B70:C70"/>
    <mergeCell ref="D74:F74"/>
    <mergeCell ref="B71:C71"/>
    <mergeCell ref="B72:C72"/>
    <mergeCell ref="D77:F77"/>
    <mergeCell ref="D75:F76"/>
    <mergeCell ref="D80:F81"/>
    <mergeCell ref="J5:L6"/>
    <mergeCell ref="D95:F95"/>
    <mergeCell ref="D34:F34"/>
    <mergeCell ref="D33:F33"/>
    <mergeCell ref="D64:F64"/>
    <mergeCell ref="D47:F47"/>
    <mergeCell ref="D48:F48"/>
    <mergeCell ref="D51:F51"/>
    <mergeCell ref="D49:F50"/>
    <mergeCell ref="D65:F65"/>
    <mergeCell ref="D67:F67"/>
    <mergeCell ref="D27:F27"/>
    <mergeCell ref="D28:F29"/>
    <mergeCell ref="D30:F30"/>
    <mergeCell ref="D21:F21"/>
    <mergeCell ref="D22:F22"/>
    <mergeCell ref="D52:F52"/>
    <mergeCell ref="D53:F53"/>
    <mergeCell ref="D54:F55"/>
    <mergeCell ref="D56:F56"/>
    <mergeCell ref="D58:F58"/>
    <mergeCell ref="D59:F60"/>
    <mergeCell ref="D61:F61"/>
    <mergeCell ref="D63:F63"/>
    <mergeCell ref="D83:F83"/>
    <mergeCell ref="D84:F84"/>
    <mergeCell ref="D94:F94"/>
    <mergeCell ref="D96:F96"/>
    <mergeCell ref="D98:F98"/>
    <mergeCell ref="D85:F86"/>
    <mergeCell ref="D87:F87"/>
    <mergeCell ref="D89:F89"/>
    <mergeCell ref="D90:F91"/>
    <mergeCell ref="D92:F92"/>
  </mergeCells>
  <conditionalFormatting sqref="D10">
    <cfRule type="expression" dxfId="126" priority="3">
      <formula>D10="Please answer all five questions below."</formula>
    </cfRule>
  </conditionalFormatting>
  <conditionalFormatting sqref="D41">
    <cfRule type="expression" dxfId="125" priority="2">
      <formula>D41="Please answer all five questions below."</formula>
    </cfRule>
  </conditionalFormatting>
  <conditionalFormatting sqref="D72">
    <cfRule type="expression" dxfId="124" priority="1">
      <formula>D72="Please answer all five questions below."</formula>
    </cfRule>
  </conditionalFormatting>
  <conditionalFormatting sqref="K11">
    <cfRule type="cellIs" dxfId="123" priority="11" operator="equal">
      <formula>"&lt;- Debits and Credits do not equal each other."</formula>
    </cfRule>
  </conditionalFormatting>
  <conditionalFormatting sqref="K41:K42">
    <cfRule type="cellIs" dxfId="122" priority="9" operator="equal">
      <formula>"&lt;- Debits and Credits do not equal each other."</formula>
    </cfRule>
  </conditionalFormatting>
  <conditionalFormatting sqref="K72:K73">
    <cfRule type="cellIs" dxfId="121" priority="7" operator="equal">
      <formula>"&lt;- Debits and Credits do not equal each other."</formula>
    </cfRule>
  </conditionalFormatting>
  <dataValidations count="2">
    <dataValidation type="whole" operator="greaterThanOrEqual" allowBlank="1" showErrorMessage="1" errorTitle="Whole Number Only" error="Enter amounts as whole numbers only." sqref="B13:C36 B44:C67 B75:C98" xr:uid="{00000000-0002-0000-0400-000000000000}">
      <formula1>0</formula1>
    </dataValidation>
    <dataValidation type="whole" operator="greaterThanOrEqual" allowBlank="1" showErrorMessage="1" errorTitle="Whole Numbers Only" error="Enter amounts as whole numbers only." promptTitle="Whole Numbers" prompt="Enter whole numbers only." sqref="K13:L35 K44:L66 K75:L97" xr:uid="{6F06C7EA-8AAD-418D-A839-2A98BD4E0D74}">
      <formula1>0</formula1>
    </dataValidation>
  </dataValidations>
  <pageMargins left="0.7" right="0.7" top="0.75" bottom="0.75" header="0.3" footer="0.3"/>
  <pageSetup scale="55" fitToHeight="0" orientation="landscape" r:id="rId1"/>
  <headerFooter>
    <oddHeader xml:space="preserve">&amp;C&amp;"arial,Bold"&amp;14GASB 87
Lessee Department Note Disclosure Form
</oddHeader>
    <oddFooter>&amp;L&amp;"arial,Regular"&amp;12State Controller's Office&amp;C&amp;"arial,Regular"&amp;12Department Note Disclosures
&amp;R&amp;"arial,Regular"&amp;12Page &amp;P of &amp;N</oddFooter>
  </headerFooter>
  <rowBreaks count="1" manualBreakCount="1">
    <brk id="37" max="5" man="1"/>
  </rowBreaks>
  <ignoredErrors>
    <ignoredError sqref="A76:A84"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'Drop Down Menus'!$D$1:$D$2</xm:f>
          </x14:formula1>
          <xm:sqref>D15:F15 D20:F20 D34 D65 D56:F56 D25:F25 D30:F30 D61:F61 D46:F46 D51:F51 D77:F77 D82:F82 D96 D87:F87 D92:F92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59999389629810485"/>
  </sheetPr>
  <dimension ref="B1:Q23"/>
  <sheetViews>
    <sheetView zoomScale="80" zoomScaleNormal="80" workbookViewId="0"/>
  </sheetViews>
  <sheetFormatPr defaultColWidth="9.140625" defaultRowHeight="18" x14ac:dyDescent="0.25"/>
  <cols>
    <col min="1" max="1" width="9.140625" style="60"/>
    <col min="2" max="3" width="3.7109375" style="60" customWidth="1"/>
    <col min="4" max="4" width="35.7109375" style="60" customWidth="1"/>
    <col min="5" max="5" width="3.7109375" style="60" customWidth="1"/>
    <col min="6" max="6" width="16.85546875" style="61" customWidth="1"/>
    <col min="7" max="7" width="3.7109375" style="60" customWidth="1"/>
    <col min="8" max="8" width="16.85546875" style="61" customWidth="1"/>
    <col min="9" max="9" width="3.7109375" style="60" customWidth="1"/>
    <col min="10" max="10" width="16.85546875" style="61" customWidth="1"/>
    <col min="11" max="11" width="3.7109375" style="60" customWidth="1"/>
    <col min="12" max="12" width="16.85546875" style="61" customWidth="1"/>
    <col min="13" max="13" width="3.7109375" style="60" customWidth="1"/>
    <col min="14" max="14" width="16.85546875" style="61" customWidth="1"/>
    <col min="15" max="15" width="3.7109375" style="60" customWidth="1"/>
    <col min="16" max="16" width="17.7109375" style="61" bestFit="1" customWidth="1"/>
    <col min="17" max="17" width="3.7109375" style="60" customWidth="1"/>
    <col min="18" max="16384" width="9.140625" style="60"/>
  </cols>
  <sheetData>
    <row r="1" spans="2:17" ht="18.75" thickBot="1" x14ac:dyDescent="0.3"/>
    <row r="2" spans="2:17" x14ac:dyDescent="0.25">
      <c r="B2" s="62"/>
      <c r="C2" s="63"/>
      <c r="D2" s="63"/>
      <c r="E2" s="63"/>
      <c r="F2" s="64"/>
      <c r="G2" s="63"/>
      <c r="H2" s="64"/>
      <c r="I2" s="63"/>
      <c r="J2" s="64"/>
      <c r="K2" s="63"/>
      <c r="L2" s="64"/>
      <c r="M2" s="63"/>
      <c r="N2" s="64"/>
      <c r="O2" s="63"/>
      <c r="P2" s="64"/>
      <c r="Q2" s="65"/>
    </row>
    <row r="3" spans="2:17" ht="20.25" x14ac:dyDescent="0.3">
      <c r="B3" s="66"/>
      <c r="D3" s="3"/>
      <c r="E3" s="3"/>
      <c r="F3" s="3"/>
      <c r="G3" s="3"/>
      <c r="H3" s="3"/>
      <c r="I3" s="3"/>
      <c r="J3" s="67" t="s">
        <v>13</v>
      </c>
      <c r="K3" s="3"/>
      <c r="L3" s="3"/>
      <c r="M3" s="3"/>
      <c r="N3" s="3"/>
      <c r="O3" s="3"/>
      <c r="P3" s="3"/>
      <c r="Q3" s="68"/>
    </row>
    <row r="4" spans="2:17" ht="20.25" x14ac:dyDescent="0.3">
      <c r="B4" s="66"/>
      <c r="D4" s="3"/>
      <c r="E4" s="3"/>
      <c r="F4" s="3"/>
      <c r="G4" s="3"/>
      <c r="H4" s="3"/>
      <c r="I4" s="3"/>
      <c r="J4" s="67" t="str">
        <f>CONCATENATE("FY ",'LS-Fund #### Journal Entries'!F3)</f>
        <v>FY 2024–2025</v>
      </c>
      <c r="K4" s="3"/>
      <c r="L4" s="3"/>
      <c r="M4" s="3"/>
      <c r="N4" s="3"/>
      <c r="O4" s="3"/>
      <c r="P4" s="3"/>
      <c r="Q4" s="68"/>
    </row>
    <row r="5" spans="2:17" ht="20.25" x14ac:dyDescent="0.3">
      <c r="B5" s="66"/>
      <c r="D5" s="3"/>
      <c r="E5" s="3"/>
      <c r="F5" s="3"/>
      <c r="G5" s="3"/>
      <c r="H5" s="3"/>
      <c r="I5" s="3"/>
      <c r="J5" s="91" t="str">
        <f>CONCATENATE("Business Unit ",'LS-Department Note Disclosure'!B9," - ",'LS-Department Note Disclosure'!B10)</f>
        <v>Business Unit 0 - 0</v>
      </c>
      <c r="K5" s="3"/>
      <c r="L5" s="3"/>
      <c r="M5" s="3"/>
      <c r="N5" s="3"/>
      <c r="O5" s="3"/>
      <c r="P5" s="3"/>
      <c r="Q5" s="68"/>
    </row>
    <row r="6" spans="2:17" x14ac:dyDescent="0.25">
      <c r="B6" s="66"/>
      <c r="Q6" s="68"/>
    </row>
    <row r="7" spans="2:17" ht="36.75" thickBot="1" x14ac:dyDescent="0.3">
      <c r="B7" s="66"/>
      <c r="F7" s="69" t="str">
        <f>CONCATENATE("Balance          July 1, ",MID(J4,4,4))</f>
        <v>Balance          July 1, 2024</v>
      </c>
      <c r="G7" s="70"/>
      <c r="H7" s="71" t="s">
        <v>14</v>
      </c>
      <c r="I7" s="70"/>
      <c r="J7" s="71" t="s">
        <v>15</v>
      </c>
      <c r="K7" s="70"/>
      <c r="L7" s="69" t="str">
        <f>CONCATENATE("Balance        June 30, ",RIGHT(J4,4))</f>
        <v>Balance        June 30, 2025</v>
      </c>
      <c r="M7" s="70"/>
      <c r="N7" s="69" t="s">
        <v>16</v>
      </c>
      <c r="O7" s="70"/>
      <c r="P7" s="69" t="s">
        <v>17</v>
      </c>
      <c r="Q7" s="68"/>
    </row>
    <row r="8" spans="2:17" x14ac:dyDescent="0.25">
      <c r="B8" s="66"/>
      <c r="F8" s="208" t="s">
        <v>1677</v>
      </c>
      <c r="G8" s="70"/>
      <c r="H8" s="209" t="s">
        <v>1736</v>
      </c>
      <c r="I8" s="70"/>
      <c r="J8" s="209" t="s">
        <v>1737</v>
      </c>
      <c r="K8" s="70"/>
      <c r="L8" s="209"/>
      <c r="M8" s="70"/>
      <c r="N8" s="209" t="s">
        <v>1678</v>
      </c>
      <c r="O8" s="70"/>
      <c r="P8" s="207"/>
      <c r="Q8" s="68"/>
    </row>
    <row r="9" spans="2:17" x14ac:dyDescent="0.25">
      <c r="B9" s="66"/>
      <c r="C9" s="70" t="s">
        <v>18</v>
      </c>
      <c r="Q9" s="68"/>
    </row>
    <row r="10" spans="2:17" ht="18.75" thickBot="1" x14ac:dyDescent="0.3">
      <c r="B10" s="66"/>
      <c r="D10" s="60" t="s">
        <v>19</v>
      </c>
      <c r="F10" s="95">
        <f>IF('LS-Fund #### Journal Entries'!$F$8="Governmental Fund",'LS-Fund #### Journal Entries'!$K$23,0)</f>
        <v>0</v>
      </c>
      <c r="G10" s="92"/>
      <c r="H10" s="95">
        <f>IF('LS-Fund #### Journal Entries'!$F$8="Governmental Fund",SUM('LS-Fund #### Journal Entries'!$K$48,'LS-Fund #### Journal Entries'!K114),0)</f>
        <v>0</v>
      </c>
      <c r="I10" s="92"/>
      <c r="J10" s="95">
        <f>IF('LS-Fund #### Journal Entries'!$F$8="Governmental Fund",SUM('LS-Fund #### Journal Entries'!$J$68,'LS-Fund #### Journal Entries'!J96),0)</f>
        <v>0</v>
      </c>
      <c r="K10" s="92"/>
      <c r="L10" s="97">
        <f>SUM(F10+H10-J10)</f>
        <v>0</v>
      </c>
      <c r="M10" s="92"/>
      <c r="N10" s="95">
        <f>IF('LS-Fund #### Journal Entries'!$F$8="Governmental Fund",'LS-Fund #### Journal Entries'!$K$76,0)</f>
        <v>0</v>
      </c>
      <c r="O10" s="92"/>
      <c r="P10" s="97">
        <f>L10-N10</f>
        <v>0</v>
      </c>
      <c r="Q10" s="68"/>
    </row>
    <row r="11" spans="2:17" ht="19.5" thickTop="1" thickBot="1" x14ac:dyDescent="0.3">
      <c r="B11" s="66"/>
      <c r="C11" s="70" t="s">
        <v>21</v>
      </c>
      <c r="F11" s="96">
        <f>SUM(F10:F10)</f>
        <v>0</v>
      </c>
      <c r="G11" s="92"/>
      <c r="H11" s="96">
        <f>SUM(H10:H10)</f>
        <v>0</v>
      </c>
      <c r="I11" s="92"/>
      <c r="J11" s="96">
        <f>SUM(J10:J10)</f>
        <v>0</v>
      </c>
      <c r="K11" s="92"/>
      <c r="L11" s="96">
        <f>SUM(L10:L10)</f>
        <v>0</v>
      </c>
      <c r="M11" s="92"/>
      <c r="N11" s="96">
        <f>SUM(N10:N10)</f>
        <v>0</v>
      </c>
      <c r="O11" s="92"/>
      <c r="P11" s="96">
        <f>SUM(P10:P10)</f>
        <v>0</v>
      </c>
      <c r="Q11" s="68"/>
    </row>
    <row r="12" spans="2:17" ht="18.75" thickTop="1" x14ac:dyDescent="0.25">
      <c r="B12" s="66"/>
      <c r="F12" s="92"/>
      <c r="G12" s="93"/>
      <c r="H12" s="92"/>
      <c r="I12" s="92"/>
      <c r="J12" s="92"/>
      <c r="K12" s="92"/>
      <c r="L12" s="92"/>
      <c r="M12" s="92"/>
      <c r="N12" s="92"/>
      <c r="O12" s="92"/>
      <c r="P12" s="92"/>
      <c r="Q12" s="68"/>
    </row>
    <row r="13" spans="2:17" x14ac:dyDescent="0.25">
      <c r="B13" s="66"/>
      <c r="C13" s="70" t="s">
        <v>143</v>
      </c>
      <c r="F13" s="92"/>
      <c r="G13" s="92"/>
      <c r="H13" s="92"/>
      <c r="I13" s="92"/>
      <c r="J13" s="92"/>
      <c r="K13" s="92"/>
      <c r="L13" s="92"/>
      <c r="M13" s="92"/>
      <c r="N13" s="92"/>
      <c r="O13" s="92"/>
      <c r="P13" s="92"/>
      <c r="Q13" s="68"/>
    </row>
    <row r="14" spans="2:17" ht="18.75" thickBot="1" x14ac:dyDescent="0.3">
      <c r="B14" s="66"/>
      <c r="D14" s="60" t="s">
        <v>19</v>
      </c>
      <c r="F14" s="95">
        <f>IF('LS-Fund #### Journal Entries'!$F$8="Proprietary - Internal Service Fund",'LS-Fund #### Journal Entries'!$K$23,0)</f>
        <v>0</v>
      </c>
      <c r="G14" s="92"/>
      <c r="H14" s="95">
        <f>IF('LS-Fund #### Journal Entries'!$F$8="Proprietary - Internal Service Fund",SUM('LS-Fund #### Journal Entries'!$K$48,'LS-Fund #### Journal Entries'!K114),0)</f>
        <v>0</v>
      </c>
      <c r="I14" s="92"/>
      <c r="J14" s="95">
        <f>IF('LS-Fund #### Journal Entries'!$F$8="Proprietary - Internal Service Fund",SUM('LS-Fund #### Journal Entries'!$J$68,'LS-Fund #### Journal Entries'!J96),0)</f>
        <v>0</v>
      </c>
      <c r="K14" s="92"/>
      <c r="L14" s="97">
        <f>SUM(F14+H14-J14)</f>
        <v>0</v>
      </c>
      <c r="M14" s="92"/>
      <c r="N14" s="95">
        <f>IF('LS-Fund #### Journal Entries'!$F$8="Proprietary - Internal Service Fund",'LS-Fund #### Journal Entries'!$K$76,0)</f>
        <v>0</v>
      </c>
      <c r="O14" s="92"/>
      <c r="P14" s="97">
        <f>L14-N14</f>
        <v>0</v>
      </c>
      <c r="Q14" s="68"/>
    </row>
    <row r="15" spans="2:17" ht="19.5" thickTop="1" thickBot="1" x14ac:dyDescent="0.3">
      <c r="B15" s="66"/>
      <c r="C15" s="70" t="s">
        <v>144</v>
      </c>
      <c r="F15" s="96">
        <f>SUM(F14:F14)</f>
        <v>0</v>
      </c>
      <c r="G15" s="92"/>
      <c r="H15" s="96">
        <f>SUM(H14:H14)</f>
        <v>0</v>
      </c>
      <c r="I15" s="92"/>
      <c r="J15" s="96">
        <f>SUM(J14:J14)</f>
        <v>0</v>
      </c>
      <c r="K15" s="92"/>
      <c r="L15" s="96">
        <f>SUM(L14:L14)</f>
        <v>0</v>
      </c>
      <c r="M15" s="92"/>
      <c r="N15" s="96">
        <f>SUM(N14:N14)</f>
        <v>0</v>
      </c>
      <c r="O15" s="92"/>
      <c r="P15" s="96">
        <f>SUM(P14:P14)</f>
        <v>0</v>
      </c>
      <c r="Q15" s="68"/>
    </row>
    <row r="16" spans="2:17" ht="18.75" thickTop="1" x14ac:dyDescent="0.25">
      <c r="B16" s="66"/>
      <c r="C16" s="70"/>
      <c r="F16" s="94"/>
      <c r="G16" s="92"/>
      <c r="H16" s="94"/>
      <c r="I16" s="92"/>
      <c r="J16" s="94"/>
      <c r="K16" s="92"/>
      <c r="L16" s="94"/>
      <c r="M16" s="92"/>
      <c r="N16" s="94"/>
      <c r="O16" s="92"/>
      <c r="P16" s="94"/>
      <c r="Q16" s="68"/>
    </row>
    <row r="17" spans="2:17" x14ac:dyDescent="0.25">
      <c r="B17" s="66"/>
      <c r="C17" s="70" t="s">
        <v>145</v>
      </c>
      <c r="F17" s="92"/>
      <c r="G17" s="92"/>
      <c r="H17" s="92"/>
      <c r="I17" s="92"/>
      <c r="J17" s="92"/>
      <c r="K17" s="92"/>
      <c r="L17" s="92"/>
      <c r="M17" s="92"/>
      <c r="N17" s="92"/>
      <c r="O17" s="92"/>
      <c r="P17" s="92"/>
      <c r="Q17" s="68"/>
    </row>
    <row r="18" spans="2:17" ht="18.75" thickBot="1" x14ac:dyDescent="0.3">
      <c r="B18" s="66"/>
      <c r="D18" s="60" t="s">
        <v>19</v>
      </c>
      <c r="F18" s="95">
        <f>IF('LS-Fund #### Journal Entries'!$F$8="Proprietary - Enterprise Fund",'LS-Fund #### Journal Entries'!$K$23,0)</f>
        <v>0</v>
      </c>
      <c r="G18" s="92"/>
      <c r="H18" s="95">
        <f>IF('LS-Fund #### Journal Entries'!$F$8="Proprietary - Enterprise Fund",SUM('LS-Fund #### Journal Entries'!$K$48,'LS-Fund #### Journal Entries'!K114),0)</f>
        <v>0</v>
      </c>
      <c r="I18" s="92"/>
      <c r="J18" s="95">
        <f>IF('LS-Fund #### Journal Entries'!$F$8="Proprietary - Enterprise Fund",SUM('LS-Fund #### Journal Entries'!$J$68,'LS-Fund #### Journal Entries'!J96),0)</f>
        <v>0</v>
      </c>
      <c r="K18" s="92"/>
      <c r="L18" s="97">
        <f>SUM(F18+H18-J18)</f>
        <v>0</v>
      </c>
      <c r="M18" s="92"/>
      <c r="N18" s="95">
        <f>IF('LS-Fund #### Journal Entries'!$F$8="Proprietary - Enterprise Fund",'LS-Fund #### Journal Entries'!$K$76,0)</f>
        <v>0</v>
      </c>
      <c r="O18" s="92"/>
      <c r="P18" s="97">
        <f>L18-N18</f>
        <v>0</v>
      </c>
      <c r="Q18" s="68"/>
    </row>
    <row r="19" spans="2:17" ht="19.5" thickTop="1" thickBot="1" x14ac:dyDescent="0.3">
      <c r="B19" s="66"/>
      <c r="C19" s="70" t="s">
        <v>146</v>
      </c>
      <c r="F19" s="96">
        <f>SUM(F18:F18)</f>
        <v>0</v>
      </c>
      <c r="G19" s="92"/>
      <c r="H19" s="96">
        <f>SUM(H18:H18)</f>
        <v>0</v>
      </c>
      <c r="I19" s="92"/>
      <c r="J19" s="96">
        <f>SUM(J18:J18)</f>
        <v>0</v>
      </c>
      <c r="K19" s="92"/>
      <c r="L19" s="96">
        <f>SUM(L18:L18)</f>
        <v>0</v>
      </c>
      <c r="M19" s="92"/>
      <c r="N19" s="96">
        <f>SUM(N18:N18)</f>
        <v>0</v>
      </c>
      <c r="O19" s="92"/>
      <c r="P19" s="96">
        <f>SUM(P18:P18)</f>
        <v>0</v>
      </c>
      <c r="Q19" s="68"/>
    </row>
    <row r="20" spans="2:17" ht="19.5" thickTop="1" thickBot="1" x14ac:dyDescent="0.3">
      <c r="B20" s="73"/>
      <c r="C20" s="74"/>
      <c r="D20" s="74"/>
      <c r="E20" s="74"/>
      <c r="F20" s="75"/>
      <c r="G20" s="74"/>
      <c r="H20" s="75"/>
      <c r="I20" s="74"/>
      <c r="J20" s="75"/>
      <c r="K20" s="74"/>
      <c r="L20" s="75"/>
      <c r="M20" s="74"/>
      <c r="N20" s="75"/>
      <c r="O20" s="74"/>
      <c r="P20" s="75"/>
      <c r="Q20" s="76"/>
    </row>
    <row r="22" spans="2:17" x14ac:dyDescent="0.25">
      <c r="B22" s="233" t="s">
        <v>1745</v>
      </c>
    </row>
    <row r="23" spans="2:17" x14ac:dyDescent="0.25">
      <c r="B23" s="233" t="s">
        <v>1654</v>
      </c>
    </row>
  </sheetData>
  <sheetProtection algorithmName="SHA-512" hashValue="y9Y5Fb/xJgG3rtWt1donYvkClxmGn2Vi2ykvF1e6trv2JXGfzufGfW38Rt9pwuO0TAzzA4sLeNI9tV4ekHnX9A==" saltValue="2UOqVGs7IYjChZE+4j892A==" spinCount="100000" sheet="1" objects="1" scenarios="1"/>
  <dataValidations count="1">
    <dataValidation type="whole" operator="greaterThanOrEqual" allowBlank="1" showErrorMessage="1" errorTitle="Invalid Entry" error="Do not enter any negative values._x000a_Only enter whole numbers." sqref="F10 H10 J10 N10 F14 H14 J14 N14 F18 H18 J18 N18" xr:uid="{00000000-0002-0000-0500-000000000000}">
      <formula1>0</formula1>
    </dataValidation>
  </dataValidations>
  <pageMargins left="0.7" right="0.7" top="0.75" bottom="0.75" header="0.3" footer="0.3"/>
  <pageSetup scale="5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59999389629810485"/>
    <pageSetUpPr fitToPage="1"/>
  </sheetPr>
  <dimension ref="A1:S577"/>
  <sheetViews>
    <sheetView showGridLines="0" zoomScale="112" zoomScaleNormal="112" workbookViewId="0"/>
  </sheetViews>
  <sheetFormatPr defaultColWidth="0" defaultRowHeight="15" zeroHeight="1" x14ac:dyDescent="0.25"/>
  <cols>
    <col min="1" max="1" width="2.85546875" style="108" customWidth="1"/>
    <col min="2" max="2" width="13.85546875" style="108" customWidth="1"/>
    <col min="3" max="3" width="2.85546875" style="130" customWidth="1"/>
    <col min="4" max="4" width="13.85546875" style="108" customWidth="1"/>
    <col min="5" max="5" width="2.85546875" style="130" customWidth="1"/>
    <col min="6" max="6" width="13.85546875" style="108" customWidth="1"/>
    <col min="7" max="7" width="2.85546875" style="108" customWidth="1"/>
    <col min="8" max="8" width="13.85546875" style="108" customWidth="1"/>
    <col min="9" max="9" width="2.85546875" style="108" customWidth="1"/>
    <col min="10" max="10" width="13.85546875" style="108" customWidth="1"/>
    <col min="11" max="11" width="2.85546875" style="130" customWidth="1"/>
    <col min="12" max="12" width="19.140625" style="108" customWidth="1"/>
    <col min="13" max="13" width="2.85546875" style="130" customWidth="1"/>
    <col min="14" max="14" width="25.85546875" style="108" customWidth="1"/>
    <col min="15" max="15" width="2.85546875" style="108" customWidth="1"/>
    <col min="16" max="16" width="13.85546875" style="108" customWidth="1"/>
    <col min="17" max="17" width="2.85546875" style="108" customWidth="1"/>
    <col min="18" max="19" width="0" style="108" hidden="1" customWidth="1"/>
    <col min="20" max="16384" width="9.140625" style="108" hidden="1"/>
  </cols>
  <sheetData>
    <row r="1" spans="1:17" s="103" customFormat="1" ht="15.75" x14ac:dyDescent="0.25">
      <c r="A1" s="98" t="s">
        <v>160</v>
      </c>
      <c r="B1" s="99"/>
      <c r="C1" s="100"/>
      <c r="D1" s="99"/>
      <c r="E1" s="100"/>
      <c r="F1" s="101"/>
      <c r="G1" s="101"/>
      <c r="H1" s="101"/>
      <c r="I1" s="101"/>
      <c r="J1" s="101"/>
      <c r="K1" s="102"/>
      <c r="L1" s="101"/>
      <c r="M1" s="102"/>
      <c r="N1" s="99"/>
      <c r="O1" s="99"/>
      <c r="P1" s="99"/>
      <c r="Q1" s="99"/>
    </row>
    <row r="2" spans="1:17" s="103" customFormat="1" ht="15.75" x14ac:dyDescent="0.25">
      <c r="A2" s="98" t="s">
        <v>148</v>
      </c>
      <c r="B2" s="99"/>
      <c r="C2" s="100"/>
      <c r="D2" s="99"/>
      <c r="E2" s="100"/>
      <c r="F2" s="99"/>
      <c r="G2" s="99"/>
      <c r="H2" s="99"/>
      <c r="I2" s="99"/>
      <c r="J2" s="99"/>
      <c r="K2" s="100"/>
      <c r="L2" s="99"/>
      <c r="M2" s="100"/>
      <c r="N2" s="99"/>
      <c r="O2" s="99"/>
      <c r="P2" s="99"/>
      <c r="Q2" s="99"/>
    </row>
    <row r="3" spans="1:17" s="103" customFormat="1" ht="15.75" x14ac:dyDescent="0.25">
      <c r="C3" s="104"/>
      <c r="E3" s="104"/>
      <c r="K3" s="104"/>
      <c r="M3" s="104"/>
    </row>
    <row r="4" spans="1:17" x14ac:dyDescent="0.25">
      <c r="A4" s="105" t="s">
        <v>149</v>
      </c>
      <c r="B4" s="106"/>
      <c r="C4" s="107"/>
      <c r="D4" s="106"/>
      <c r="E4" s="107"/>
      <c r="F4" s="106"/>
      <c r="G4" s="106"/>
      <c r="H4" s="106"/>
      <c r="I4" s="106"/>
      <c r="J4" s="106"/>
      <c r="K4" s="107"/>
      <c r="L4" s="106"/>
      <c r="M4" s="107"/>
      <c r="N4" s="106"/>
      <c r="O4" s="106"/>
      <c r="P4" s="106"/>
      <c r="Q4" s="106"/>
    </row>
    <row r="5" spans="1:17" ht="15" customHeight="1" x14ac:dyDescent="0.25">
      <c r="A5" s="436" t="s">
        <v>161</v>
      </c>
      <c r="B5" s="436"/>
      <c r="C5" s="436"/>
      <c r="D5" s="436"/>
      <c r="E5" s="436"/>
      <c r="F5" s="436"/>
      <c r="G5" s="436"/>
      <c r="H5" s="436"/>
      <c r="I5" s="436"/>
      <c r="J5" s="436"/>
      <c r="K5" s="436"/>
      <c r="L5" s="436"/>
      <c r="M5" s="436"/>
      <c r="N5" s="436"/>
      <c r="O5" s="436"/>
      <c r="P5" s="436"/>
      <c r="Q5" s="436"/>
    </row>
    <row r="6" spans="1:17" ht="15" customHeight="1" x14ac:dyDescent="0.25">
      <c r="A6" s="436"/>
      <c r="B6" s="436"/>
      <c r="C6" s="436"/>
      <c r="D6" s="436"/>
      <c r="E6" s="436"/>
      <c r="F6" s="436"/>
      <c r="G6" s="436"/>
      <c r="H6" s="436"/>
      <c r="I6" s="436"/>
      <c r="J6" s="436"/>
      <c r="K6" s="436"/>
      <c r="L6" s="436"/>
      <c r="M6" s="436"/>
      <c r="N6" s="436"/>
      <c r="O6" s="436"/>
      <c r="P6" s="436"/>
      <c r="Q6" s="436"/>
    </row>
    <row r="7" spans="1:17" x14ac:dyDescent="0.25">
      <c r="A7" s="436"/>
      <c r="B7" s="436"/>
      <c r="C7" s="436"/>
      <c r="D7" s="436"/>
      <c r="E7" s="436"/>
      <c r="F7" s="436"/>
      <c r="G7" s="436"/>
      <c r="H7" s="436"/>
      <c r="I7" s="436"/>
      <c r="J7" s="436"/>
      <c r="K7" s="436"/>
      <c r="L7" s="436"/>
      <c r="M7" s="436"/>
      <c r="N7" s="436"/>
      <c r="O7" s="436"/>
      <c r="P7" s="436"/>
      <c r="Q7" s="436"/>
    </row>
    <row r="8" spans="1:17" ht="15" customHeight="1" x14ac:dyDescent="0.25">
      <c r="A8" s="437" t="s">
        <v>1654</v>
      </c>
      <c r="B8" s="437"/>
      <c r="C8" s="437"/>
      <c r="D8" s="437"/>
      <c r="E8" s="437"/>
      <c r="F8" s="437"/>
      <c r="G8" s="437"/>
      <c r="H8" s="437"/>
      <c r="I8" s="437"/>
      <c r="J8" s="437"/>
      <c r="K8" s="437"/>
      <c r="L8" s="437"/>
      <c r="M8" s="437"/>
      <c r="N8" s="437"/>
      <c r="O8" s="437"/>
      <c r="P8" s="437"/>
      <c r="Q8" s="437"/>
    </row>
    <row r="9" spans="1:17" x14ac:dyDescent="0.25">
      <c r="A9" s="437"/>
      <c r="B9" s="437"/>
      <c r="C9" s="437"/>
      <c r="D9" s="437"/>
      <c r="E9" s="437"/>
      <c r="F9" s="437"/>
      <c r="G9" s="437"/>
      <c r="H9" s="437"/>
      <c r="I9" s="437"/>
      <c r="J9" s="437"/>
      <c r="K9" s="437"/>
      <c r="L9" s="437"/>
      <c r="M9" s="437"/>
      <c r="N9" s="437"/>
      <c r="O9" s="437"/>
      <c r="P9" s="437"/>
      <c r="Q9" s="437"/>
    </row>
    <row r="10" spans="1:17" x14ac:dyDescent="0.25">
      <c r="A10" s="105" t="s">
        <v>165</v>
      </c>
      <c r="B10" s="106"/>
      <c r="C10" s="107"/>
      <c r="D10" s="106"/>
      <c r="E10" s="107"/>
      <c r="F10" s="106"/>
      <c r="G10" s="106"/>
      <c r="H10" s="106"/>
      <c r="I10" s="106"/>
      <c r="J10" s="106"/>
      <c r="K10" s="107"/>
      <c r="L10" s="106"/>
      <c r="M10" s="107"/>
      <c r="N10" s="106"/>
      <c r="O10" s="106"/>
      <c r="P10" s="106"/>
      <c r="Q10" s="106"/>
    </row>
    <row r="11" spans="1:17" x14ac:dyDescent="0.25">
      <c r="A11" s="109"/>
      <c r="B11" s="135" t="s">
        <v>167</v>
      </c>
      <c r="C11" s="135"/>
      <c r="D11" s="109"/>
      <c r="E11" s="110"/>
      <c r="F11" s="109"/>
      <c r="G11" s="109"/>
      <c r="H11" s="109"/>
      <c r="I11" s="109"/>
      <c r="J11" s="109"/>
      <c r="K11" s="110"/>
      <c r="L11" s="109"/>
      <c r="M11" s="110"/>
      <c r="N11" s="109"/>
      <c r="O11" s="109"/>
      <c r="P11" s="109"/>
      <c r="Q11" s="109"/>
    </row>
    <row r="12" spans="1:17" ht="6.75" customHeight="1" x14ac:dyDescent="0.25">
      <c r="A12" s="109"/>
      <c r="B12" s="109"/>
      <c r="C12" s="110"/>
      <c r="D12" s="109"/>
      <c r="E12" s="110"/>
      <c r="F12" s="109"/>
      <c r="G12" s="109"/>
      <c r="H12" s="109"/>
      <c r="I12" s="109"/>
      <c r="J12" s="109"/>
      <c r="K12" s="110"/>
      <c r="L12" s="109"/>
      <c r="M12" s="110"/>
      <c r="N12" s="109"/>
      <c r="O12" s="109"/>
      <c r="P12" s="109"/>
      <c r="Q12" s="109"/>
    </row>
    <row r="13" spans="1:17" ht="15" customHeight="1" x14ac:dyDescent="0.25">
      <c r="A13" s="109"/>
      <c r="B13" s="438" t="s">
        <v>150</v>
      </c>
      <c r="C13" s="438"/>
      <c r="D13" s="438"/>
      <c r="E13" s="438"/>
      <c r="F13" s="438"/>
      <c r="G13" s="438"/>
      <c r="H13" s="438"/>
      <c r="I13" s="438"/>
      <c r="J13" s="438"/>
      <c r="K13" s="438"/>
      <c r="L13" s="438"/>
      <c r="M13" s="110"/>
      <c r="N13" s="111" t="s">
        <v>151</v>
      </c>
      <c r="O13" s="112"/>
      <c r="P13" s="112"/>
      <c r="Q13" s="109"/>
    </row>
    <row r="14" spans="1:17" ht="15" customHeight="1" x14ac:dyDescent="0.25">
      <c r="A14" s="109"/>
      <c r="B14" s="218" t="s">
        <v>1683</v>
      </c>
      <c r="C14" s="218"/>
      <c r="D14" s="218" t="s">
        <v>14</v>
      </c>
      <c r="E14" s="218"/>
      <c r="F14" s="218" t="s">
        <v>15</v>
      </c>
      <c r="G14" s="218"/>
      <c r="H14" s="218" t="s">
        <v>1684</v>
      </c>
      <c r="I14" s="218"/>
      <c r="J14" s="218" t="s">
        <v>1685</v>
      </c>
      <c r="K14" s="218"/>
      <c r="L14" s="218"/>
      <c r="M14" s="110"/>
      <c r="N14" s="116"/>
      <c r="O14" s="112"/>
      <c r="P14" s="112"/>
      <c r="Q14" s="109"/>
    </row>
    <row r="15" spans="1:17" ht="15" customHeight="1" x14ac:dyDescent="0.25">
      <c r="A15" s="109"/>
      <c r="B15" s="113" t="s">
        <v>152</v>
      </c>
      <c r="C15" s="114" t="s">
        <v>153</v>
      </c>
      <c r="D15" s="113" t="s">
        <v>164</v>
      </c>
      <c r="E15" s="113" t="s">
        <v>154</v>
      </c>
      <c r="F15" s="113" t="s">
        <v>159</v>
      </c>
      <c r="G15" s="113" t="s">
        <v>154</v>
      </c>
      <c r="H15" s="113" t="s">
        <v>1735</v>
      </c>
      <c r="I15" s="113" t="s">
        <v>153</v>
      </c>
      <c r="J15" s="113" t="s">
        <v>1738</v>
      </c>
      <c r="K15" s="114"/>
      <c r="L15" s="113"/>
      <c r="M15" s="114"/>
      <c r="N15" s="115" t="s">
        <v>155</v>
      </c>
      <c r="O15" s="112"/>
      <c r="P15" s="116" t="s">
        <v>156</v>
      </c>
      <c r="Q15" s="109"/>
    </row>
    <row r="16" spans="1:17" ht="15" customHeight="1" x14ac:dyDescent="0.25">
      <c r="A16" s="117"/>
      <c r="B16" s="118">
        <f>IF('LS-Fund #### Journal Entries'!$F$8="Governmental Fund",'LS-Fund #### Journal Entries'!$K$23,0)</f>
        <v>0</v>
      </c>
      <c r="C16" s="153" t="s">
        <v>153</v>
      </c>
      <c r="D16" s="118">
        <f>IF('LS-Fund #### Journal Entries'!$F$8="Governmental Fund",'LS-Fund #### Journal Entries'!$K$48,0)</f>
        <v>0</v>
      </c>
      <c r="E16" s="155" t="s">
        <v>154</v>
      </c>
      <c r="F16" s="118">
        <f>IF('LS-Fund #### Journal Entries'!$F$8="Governmental Fund",'LS-Fund #### Journal Entries'!$J$68,0)</f>
        <v>0</v>
      </c>
      <c r="G16" s="154" t="s">
        <v>154</v>
      </c>
      <c r="H16" s="118">
        <f>IF('LS-Fund #### Journal Entries'!$F$8="Governmental Fund",'LS-Fund #### Journal Entries'!$J$96,0)</f>
        <v>0</v>
      </c>
      <c r="I16" s="154" t="s">
        <v>153</v>
      </c>
      <c r="J16" s="118">
        <f>IF('LS-Fund #### Journal Entries'!$F$8="Governmental Fund",'LS-Fund #### Journal Entries'!$K$114,0)</f>
        <v>0</v>
      </c>
      <c r="K16" s="155" t="s">
        <v>157</v>
      </c>
      <c r="L16" s="121">
        <f>ROUND(+B16+D16-F16-H16+J16,0)</f>
        <v>0</v>
      </c>
      <c r="M16" s="120"/>
      <c r="N16" s="122">
        <f>ROUND(SUM('LS-Department Note Disclosure'!B13:B36),0)</f>
        <v>0</v>
      </c>
      <c r="O16" s="119"/>
      <c r="P16" s="123">
        <f>L16-N16</f>
        <v>0</v>
      </c>
      <c r="Q16" s="109"/>
    </row>
    <row r="17" spans="1:17" ht="6" customHeight="1" x14ac:dyDescent="0.25">
      <c r="A17" s="117"/>
      <c r="B17" s="117"/>
      <c r="C17" s="124"/>
      <c r="D17" s="117"/>
      <c r="E17" s="124"/>
      <c r="F17" s="117"/>
      <c r="G17" s="117"/>
      <c r="H17" s="117"/>
      <c r="I17" s="117"/>
      <c r="J17" s="117"/>
      <c r="K17" s="124"/>
      <c r="L17" s="117"/>
      <c r="M17" s="124"/>
      <c r="N17" s="117"/>
      <c r="O17" s="117"/>
      <c r="P17" s="117"/>
      <c r="Q17" s="109"/>
    </row>
    <row r="18" spans="1:17" ht="15" customHeight="1" x14ac:dyDescent="0.25">
      <c r="A18" s="117"/>
      <c r="B18" s="117"/>
      <c r="C18" s="124"/>
      <c r="D18" s="125" t="str">
        <f>IF(OR(P16&gt;0, (P16&lt;0)), "Please review and correct the variance.","")</f>
        <v/>
      </c>
      <c r="E18" s="124"/>
      <c r="F18" s="117"/>
      <c r="G18" s="117"/>
      <c r="H18" s="117"/>
      <c r="I18" s="117"/>
      <c r="J18" s="117"/>
      <c r="K18" s="124"/>
      <c r="L18" s="117"/>
      <c r="M18" s="124"/>
      <c r="N18" s="117"/>
      <c r="O18" s="117"/>
      <c r="P18" s="117"/>
      <c r="Q18" s="109"/>
    </row>
    <row r="19" spans="1:17" x14ac:dyDescent="0.25">
      <c r="A19" s="109"/>
      <c r="B19" s="135" t="s">
        <v>168</v>
      </c>
      <c r="C19" s="135"/>
      <c r="D19" s="109"/>
      <c r="E19" s="110"/>
      <c r="F19" s="109"/>
      <c r="G19" s="109"/>
      <c r="H19" s="109"/>
      <c r="I19" s="109"/>
      <c r="J19" s="109"/>
      <c r="K19" s="110"/>
      <c r="L19" s="109"/>
      <c r="M19" s="110"/>
      <c r="N19" s="109"/>
      <c r="O19" s="109"/>
      <c r="P19" s="109"/>
      <c r="Q19" s="109"/>
    </row>
    <row r="20" spans="1:17" ht="6" customHeight="1" x14ac:dyDescent="0.25">
      <c r="A20" s="109"/>
      <c r="B20" s="109"/>
      <c r="C20" s="110"/>
      <c r="D20" s="109"/>
      <c r="E20" s="110"/>
      <c r="F20" s="109"/>
      <c r="G20" s="109"/>
      <c r="H20" s="109"/>
      <c r="I20" s="109"/>
      <c r="J20" s="109"/>
      <c r="K20" s="110"/>
      <c r="L20" s="109"/>
      <c r="M20" s="110"/>
      <c r="N20" s="109"/>
      <c r="O20" s="109"/>
      <c r="P20" s="109"/>
      <c r="Q20" s="109"/>
    </row>
    <row r="21" spans="1:17" ht="15" customHeight="1" x14ac:dyDescent="0.25">
      <c r="A21" s="109"/>
      <c r="B21" s="438" t="s">
        <v>150</v>
      </c>
      <c r="C21" s="438"/>
      <c r="D21" s="438"/>
      <c r="E21" s="438"/>
      <c r="F21" s="438"/>
      <c r="G21" s="438"/>
      <c r="H21" s="438"/>
      <c r="I21" s="438"/>
      <c r="J21" s="438"/>
      <c r="K21" s="438"/>
      <c r="L21" s="438"/>
      <c r="M21" s="110"/>
      <c r="N21" s="111" t="s">
        <v>151</v>
      </c>
      <c r="O21" s="112"/>
      <c r="P21" s="112"/>
      <c r="Q21" s="109"/>
    </row>
    <row r="22" spans="1:17" ht="15" customHeight="1" x14ac:dyDescent="0.25">
      <c r="A22" s="109"/>
      <c r="B22" s="218" t="s">
        <v>1683</v>
      </c>
      <c r="C22" s="218"/>
      <c r="D22" s="218" t="s">
        <v>14</v>
      </c>
      <c r="E22" s="218"/>
      <c r="F22" s="218" t="s">
        <v>15</v>
      </c>
      <c r="G22" s="218"/>
      <c r="H22" s="218" t="s">
        <v>1684</v>
      </c>
      <c r="I22" s="218"/>
      <c r="J22" s="218" t="s">
        <v>1685</v>
      </c>
      <c r="K22" s="218"/>
      <c r="L22" s="218"/>
      <c r="M22" s="110"/>
      <c r="N22" s="116"/>
      <c r="O22" s="112"/>
      <c r="P22" s="112"/>
      <c r="Q22" s="109"/>
    </row>
    <row r="23" spans="1:17" ht="15" customHeight="1" x14ac:dyDescent="0.25">
      <c r="A23" s="109"/>
      <c r="B23" s="113" t="s">
        <v>152</v>
      </c>
      <c r="C23" s="114" t="s">
        <v>153</v>
      </c>
      <c r="D23" s="113" t="s">
        <v>164</v>
      </c>
      <c r="E23" s="113" t="s">
        <v>154</v>
      </c>
      <c r="F23" s="113" t="s">
        <v>159</v>
      </c>
      <c r="G23" s="113" t="s">
        <v>154</v>
      </c>
      <c r="H23" s="113" t="s">
        <v>1735</v>
      </c>
      <c r="I23" s="113" t="s">
        <v>153</v>
      </c>
      <c r="J23" s="113" t="s">
        <v>1738</v>
      </c>
      <c r="K23" s="114"/>
      <c r="L23" s="113"/>
      <c r="M23" s="114"/>
      <c r="N23" s="115" t="s">
        <v>155</v>
      </c>
      <c r="O23" s="112"/>
      <c r="P23" s="116" t="s">
        <v>156</v>
      </c>
      <c r="Q23" s="109"/>
    </row>
    <row r="24" spans="1:17" ht="15" customHeight="1" x14ac:dyDescent="0.25">
      <c r="A24" s="117"/>
      <c r="B24" s="118">
        <f>IF('LS-Fund #### Journal Entries'!$F$8="Proprietary - Internal Service Fund",'LS-Fund #### Journal Entries'!$K$23,0)</f>
        <v>0</v>
      </c>
      <c r="C24" s="153" t="s">
        <v>153</v>
      </c>
      <c r="D24" s="118">
        <f>IF('LS-Fund #### Journal Entries'!$F$8="Proprietary - Internal Service Fund",'LS-Fund #### Journal Entries'!$K$48,0)</f>
        <v>0</v>
      </c>
      <c r="E24" s="155" t="s">
        <v>154</v>
      </c>
      <c r="F24" s="118">
        <f>IF('LS-Fund #### Journal Entries'!$F$8="Proprietary - Internal Service Fund",'LS-Fund #### Journal Entries'!$J$68,0)</f>
        <v>0</v>
      </c>
      <c r="G24" s="154" t="s">
        <v>154</v>
      </c>
      <c r="H24" s="118">
        <f>IF('LS-Fund #### Journal Entries'!$F$8="Proprietary - Internal Service Fund",'LS-Fund #### Journal Entries'!$J$96,0)</f>
        <v>0</v>
      </c>
      <c r="I24" s="154" t="s">
        <v>153</v>
      </c>
      <c r="J24" s="118">
        <f>IF('LS-Fund #### Journal Entries'!$F$8="Proprietary - Internal Service Fund",'LS-Fund #### Journal Entries'!$K$114,0)</f>
        <v>0</v>
      </c>
      <c r="K24" s="155" t="s">
        <v>157</v>
      </c>
      <c r="L24" s="121">
        <f>ROUND(+B24+D24-F24-H24+J24,0)</f>
        <v>0</v>
      </c>
      <c r="M24" s="120"/>
      <c r="N24" s="122">
        <f>ROUND(SUM('LS-Department Note Disclosure'!B44:B67),0)</f>
        <v>0</v>
      </c>
      <c r="O24" s="119"/>
      <c r="P24" s="123">
        <f>L24-N24</f>
        <v>0</v>
      </c>
      <c r="Q24" s="109"/>
    </row>
    <row r="25" spans="1:17" ht="6" customHeight="1" x14ac:dyDescent="0.25">
      <c r="A25" s="117"/>
      <c r="B25" s="117"/>
      <c r="C25" s="124"/>
      <c r="D25" s="117"/>
      <c r="E25" s="124"/>
      <c r="F25" s="117"/>
      <c r="G25" s="117"/>
      <c r="H25" s="117"/>
      <c r="I25" s="117"/>
      <c r="J25" s="117"/>
      <c r="K25" s="124"/>
      <c r="L25" s="117"/>
      <c r="M25" s="124"/>
      <c r="N25" s="117"/>
      <c r="O25" s="117"/>
      <c r="P25" s="117"/>
      <c r="Q25" s="109"/>
    </row>
    <row r="26" spans="1:17" ht="15" customHeight="1" x14ac:dyDescent="0.25">
      <c r="A26" s="117"/>
      <c r="B26" s="117"/>
      <c r="C26" s="124"/>
      <c r="D26" s="125" t="str">
        <f>IF(OR(P24&gt;0, (P24&lt;0)), "Please review and correct the variance.","")</f>
        <v/>
      </c>
      <c r="E26" s="124"/>
      <c r="F26" s="117"/>
      <c r="G26" s="117"/>
      <c r="H26" s="117"/>
      <c r="I26" s="117"/>
      <c r="J26" s="117"/>
      <c r="K26" s="124"/>
      <c r="L26" s="117"/>
      <c r="M26" s="124"/>
      <c r="N26" s="117"/>
      <c r="O26" s="117"/>
      <c r="P26" s="117"/>
      <c r="Q26" s="109"/>
    </row>
    <row r="27" spans="1:17" ht="6" customHeight="1" x14ac:dyDescent="0.25">
      <c r="A27" s="109"/>
      <c r="B27" s="126"/>
      <c r="C27" s="110"/>
      <c r="D27" s="126"/>
      <c r="E27" s="110"/>
      <c r="F27" s="126"/>
      <c r="G27" s="126"/>
      <c r="H27" s="126"/>
      <c r="I27" s="126"/>
      <c r="J27" s="126"/>
      <c r="K27" s="110"/>
      <c r="L27" s="126"/>
      <c r="M27" s="110"/>
      <c r="N27" s="126"/>
      <c r="O27" s="126"/>
      <c r="P27" s="126"/>
      <c r="Q27" s="109"/>
    </row>
    <row r="28" spans="1:17" x14ac:dyDescent="0.25">
      <c r="A28" s="109"/>
      <c r="B28" s="135" t="s">
        <v>169</v>
      </c>
      <c r="C28" s="135"/>
      <c r="D28" s="109"/>
      <c r="E28" s="110"/>
      <c r="F28" s="109"/>
      <c r="G28" s="109"/>
      <c r="H28" s="109"/>
      <c r="I28" s="109"/>
      <c r="J28" s="109"/>
      <c r="K28" s="110"/>
      <c r="L28" s="109"/>
      <c r="M28" s="110"/>
      <c r="N28" s="109"/>
      <c r="O28" s="109"/>
      <c r="P28" s="109"/>
      <c r="Q28" s="109"/>
    </row>
    <row r="29" spans="1:17" ht="6" customHeight="1" x14ac:dyDescent="0.25">
      <c r="A29" s="109"/>
      <c r="B29" s="109"/>
      <c r="C29" s="110"/>
      <c r="D29" s="109"/>
      <c r="E29" s="110"/>
      <c r="F29" s="109"/>
      <c r="G29" s="109"/>
      <c r="H29" s="109"/>
      <c r="I29" s="109"/>
      <c r="J29" s="109"/>
      <c r="K29" s="110"/>
      <c r="L29" s="109"/>
      <c r="M29" s="110"/>
      <c r="N29" s="109"/>
      <c r="O29" s="109"/>
      <c r="P29" s="109"/>
      <c r="Q29" s="109"/>
    </row>
    <row r="30" spans="1:17" ht="15" customHeight="1" x14ac:dyDescent="0.25">
      <c r="A30" s="109"/>
      <c r="B30" s="438" t="s">
        <v>150</v>
      </c>
      <c r="C30" s="438"/>
      <c r="D30" s="438"/>
      <c r="E30" s="438"/>
      <c r="F30" s="438"/>
      <c r="G30" s="438"/>
      <c r="H30" s="438"/>
      <c r="I30" s="438"/>
      <c r="J30" s="438"/>
      <c r="K30" s="438"/>
      <c r="L30" s="438"/>
      <c r="M30" s="110"/>
      <c r="N30" s="111" t="s">
        <v>151</v>
      </c>
      <c r="O30" s="112"/>
      <c r="P30" s="112"/>
      <c r="Q30" s="109"/>
    </row>
    <row r="31" spans="1:17" ht="15" customHeight="1" x14ac:dyDescent="0.25">
      <c r="A31" s="109"/>
      <c r="B31" s="218" t="s">
        <v>1683</v>
      </c>
      <c r="C31" s="218"/>
      <c r="D31" s="218" t="s">
        <v>14</v>
      </c>
      <c r="E31" s="218"/>
      <c r="F31" s="218" t="s">
        <v>15</v>
      </c>
      <c r="G31" s="218"/>
      <c r="H31" s="218" t="s">
        <v>1684</v>
      </c>
      <c r="I31" s="218"/>
      <c r="J31" s="218" t="s">
        <v>1685</v>
      </c>
      <c r="K31" s="218"/>
      <c r="L31" s="218"/>
      <c r="M31" s="110"/>
      <c r="N31" s="116"/>
      <c r="O31" s="112"/>
      <c r="P31" s="112"/>
      <c r="Q31" s="109"/>
    </row>
    <row r="32" spans="1:17" ht="15" customHeight="1" x14ac:dyDescent="0.25">
      <c r="A32" s="109"/>
      <c r="B32" s="113" t="s">
        <v>152</v>
      </c>
      <c r="C32" s="114" t="s">
        <v>153</v>
      </c>
      <c r="D32" s="113" t="s">
        <v>164</v>
      </c>
      <c r="E32" s="113" t="s">
        <v>154</v>
      </c>
      <c r="F32" s="113" t="s">
        <v>159</v>
      </c>
      <c r="G32" s="113" t="s">
        <v>154</v>
      </c>
      <c r="H32" s="113" t="s">
        <v>1735</v>
      </c>
      <c r="I32" s="113" t="s">
        <v>153</v>
      </c>
      <c r="J32" s="113" t="s">
        <v>1738</v>
      </c>
      <c r="K32" s="114"/>
      <c r="L32" s="113"/>
      <c r="M32" s="114"/>
      <c r="N32" s="115" t="s">
        <v>155</v>
      </c>
      <c r="O32" s="112"/>
      <c r="P32" s="116" t="s">
        <v>156</v>
      </c>
      <c r="Q32" s="109"/>
    </row>
    <row r="33" spans="1:17" ht="15" customHeight="1" x14ac:dyDescent="0.25">
      <c r="A33" s="117"/>
      <c r="B33" s="118">
        <f>IF('LS-Fund #### Journal Entries'!$F$8="Proprietary - Enterprise Fund",'LS-Fund #### Journal Entries'!$K$23,0)</f>
        <v>0</v>
      </c>
      <c r="C33" s="153" t="s">
        <v>153</v>
      </c>
      <c r="D33" s="118">
        <f>IF('LS-Fund #### Journal Entries'!$F$8="Proprietary - Enterprise Fund",'LS-Fund #### Journal Entries'!$K$48,0)</f>
        <v>0</v>
      </c>
      <c r="E33" s="155" t="s">
        <v>154</v>
      </c>
      <c r="F33" s="118">
        <f>IF('LS-Fund #### Journal Entries'!$F$8="Proprietary - Enterprise Fund",'LS-Fund #### Journal Entries'!$J$68,0)</f>
        <v>0</v>
      </c>
      <c r="G33" s="154" t="s">
        <v>154</v>
      </c>
      <c r="H33" s="118">
        <f>IF('LS-Fund #### Journal Entries'!$F$8="Proprietary - Enterprise Fund",'LS-Fund #### Journal Entries'!$J$96,0)</f>
        <v>0</v>
      </c>
      <c r="I33" s="154" t="s">
        <v>153</v>
      </c>
      <c r="J33" s="118">
        <f>IF('LS-Fund #### Journal Entries'!$F$8="Proprietary - Enterprise Fund",'LS-Fund #### Journal Entries'!$K$114,0)</f>
        <v>0</v>
      </c>
      <c r="K33" s="155" t="s">
        <v>157</v>
      </c>
      <c r="L33" s="121">
        <f>ROUND(+B33+D33-F33-H33+J33,0)</f>
        <v>0</v>
      </c>
      <c r="M33" s="120"/>
      <c r="N33" s="122">
        <f>ROUND(SUM('LS-Department Note Disclosure'!B75:B98),0)</f>
        <v>0</v>
      </c>
      <c r="O33" s="119"/>
      <c r="P33" s="123">
        <f>L33-N33</f>
        <v>0</v>
      </c>
      <c r="Q33" s="109"/>
    </row>
    <row r="34" spans="1:17" ht="6" customHeight="1" x14ac:dyDescent="0.25">
      <c r="A34" s="117"/>
      <c r="B34" s="117"/>
      <c r="C34" s="124"/>
      <c r="D34" s="117"/>
      <c r="E34" s="124"/>
      <c r="F34" s="117"/>
      <c r="G34" s="117"/>
      <c r="H34" s="117"/>
      <c r="I34" s="117"/>
      <c r="J34" s="117"/>
      <c r="K34" s="124"/>
      <c r="L34" s="117"/>
      <c r="M34" s="124"/>
      <c r="N34" s="117"/>
      <c r="O34" s="117"/>
      <c r="P34" s="117"/>
      <c r="Q34" s="109"/>
    </row>
    <row r="35" spans="1:17" ht="15" customHeight="1" x14ac:dyDescent="0.25">
      <c r="A35" s="117"/>
      <c r="B35" s="117"/>
      <c r="C35" s="124"/>
      <c r="D35" s="125" t="str">
        <f>IF(OR(P33&gt;0, (P33&lt;0)), "Please review and correct the variance.","")</f>
        <v/>
      </c>
      <c r="E35" s="124"/>
      <c r="F35" s="117"/>
      <c r="G35" s="117"/>
      <c r="H35" s="117"/>
      <c r="I35" s="117"/>
      <c r="J35" s="117"/>
      <c r="K35" s="124"/>
      <c r="L35" s="117"/>
      <c r="M35" s="124"/>
      <c r="N35" s="117"/>
      <c r="O35" s="117"/>
      <c r="P35" s="117"/>
      <c r="Q35" s="109"/>
    </row>
    <row r="36" spans="1:17" ht="6" customHeight="1" x14ac:dyDescent="0.25">
      <c r="A36" s="109"/>
      <c r="B36" s="126"/>
      <c r="C36" s="110"/>
      <c r="D36" s="126"/>
      <c r="E36" s="110"/>
      <c r="F36" s="126"/>
      <c r="G36" s="126"/>
      <c r="H36" s="126"/>
      <c r="I36" s="126"/>
      <c r="J36" s="126"/>
      <c r="K36" s="110"/>
      <c r="L36" s="126"/>
      <c r="M36" s="110"/>
      <c r="N36" s="126"/>
      <c r="O36" s="126"/>
      <c r="P36" s="126"/>
      <c r="Q36" s="109"/>
    </row>
    <row r="37" spans="1:17" x14ac:dyDescent="0.25">
      <c r="A37" s="105" t="s">
        <v>158</v>
      </c>
      <c r="B37" s="106"/>
      <c r="C37" s="107"/>
      <c r="D37" s="106"/>
      <c r="E37" s="107"/>
      <c r="F37" s="106"/>
      <c r="G37" s="106"/>
      <c r="H37" s="106"/>
      <c r="I37" s="106"/>
      <c r="J37" s="106"/>
      <c r="K37" s="107"/>
      <c r="L37" s="106"/>
      <c r="M37" s="107"/>
      <c r="N37" s="106"/>
      <c r="O37" s="106"/>
      <c r="P37" s="106"/>
      <c r="Q37" s="106"/>
    </row>
    <row r="38" spans="1:17" ht="15" customHeight="1" x14ac:dyDescent="0.25">
      <c r="A38" s="109"/>
      <c r="B38" s="135" t="s">
        <v>167</v>
      </c>
      <c r="C38" s="135"/>
      <c r="D38" s="109"/>
      <c r="E38" s="110"/>
      <c r="F38" s="109"/>
      <c r="G38" s="109"/>
      <c r="H38" s="109"/>
      <c r="I38" s="109"/>
      <c r="J38" s="109"/>
      <c r="K38" s="110"/>
      <c r="L38" s="109"/>
      <c r="M38" s="110"/>
      <c r="N38" s="109"/>
      <c r="O38" s="109"/>
      <c r="P38" s="109"/>
      <c r="Q38" s="109"/>
    </row>
    <row r="39" spans="1:17" ht="6" customHeight="1" x14ac:dyDescent="0.25">
      <c r="A39" s="109"/>
      <c r="B39" s="109"/>
      <c r="C39" s="110"/>
      <c r="D39" s="109"/>
      <c r="E39" s="110"/>
      <c r="F39" s="109"/>
      <c r="G39" s="109"/>
      <c r="H39" s="109"/>
      <c r="I39" s="109"/>
      <c r="J39" s="109"/>
      <c r="K39" s="110"/>
      <c r="L39" s="109"/>
      <c r="M39" s="110"/>
      <c r="N39" s="109"/>
      <c r="O39" s="109"/>
      <c r="P39" s="109"/>
      <c r="Q39" s="109"/>
    </row>
    <row r="40" spans="1:17" ht="15" customHeight="1" x14ac:dyDescent="0.25">
      <c r="A40" s="109"/>
      <c r="B40" s="438" t="s">
        <v>150</v>
      </c>
      <c r="C40" s="438"/>
      <c r="D40" s="438"/>
      <c r="E40" s="135"/>
      <c r="F40" s="135"/>
      <c r="G40" s="135"/>
      <c r="H40" s="135"/>
      <c r="I40" s="135"/>
      <c r="J40" s="135"/>
      <c r="K40" s="135"/>
      <c r="L40" s="135"/>
      <c r="M40" s="110"/>
      <c r="N40" s="111" t="s">
        <v>151</v>
      </c>
      <c r="O40" s="112"/>
      <c r="P40" s="112"/>
      <c r="Q40" s="109"/>
    </row>
    <row r="41" spans="1:17" ht="15" customHeight="1" x14ac:dyDescent="0.25">
      <c r="A41" s="109"/>
      <c r="B41" s="113" t="s">
        <v>163</v>
      </c>
      <c r="C41" s="219" t="s">
        <v>1686</v>
      </c>
      <c r="E41" s="109"/>
      <c r="G41" s="113"/>
      <c r="H41" s="113"/>
      <c r="I41" s="113"/>
      <c r="J41" s="113"/>
      <c r="K41" s="109"/>
      <c r="L41" s="109"/>
      <c r="M41" s="114"/>
      <c r="N41" s="115" t="str">
        <f>CONCATENATE('LS-Department Note Disclosure'!$A$13," Principal Payments")</f>
        <v>2025–2026 Principal Payments</v>
      </c>
      <c r="O41" s="112"/>
      <c r="P41" s="116" t="s">
        <v>156</v>
      </c>
      <c r="Q41" s="109"/>
    </row>
    <row r="42" spans="1:17" ht="15" customHeight="1" x14ac:dyDescent="0.25">
      <c r="A42" s="109"/>
      <c r="B42" s="118">
        <f>IF('LS-Fund #### Journal Entries'!$F$8="Governmental Fund",'LS-Fund #### Journal Entries'!$K$76,0)</f>
        <v>0</v>
      </c>
      <c r="C42" s="126"/>
      <c r="E42" s="126"/>
      <c r="G42" s="152"/>
      <c r="H42" s="152"/>
      <c r="I42" s="152"/>
      <c r="J42" s="152"/>
      <c r="K42" s="126"/>
      <c r="L42" s="126"/>
      <c r="M42" s="127"/>
      <c r="N42" s="122">
        <f>ROUND('LS-Department Note Disclosure'!B13,0)</f>
        <v>0</v>
      </c>
      <c r="O42" s="128"/>
      <c r="P42" s="123">
        <f>B42-N42</f>
        <v>0</v>
      </c>
      <c r="Q42" s="109"/>
    </row>
    <row r="43" spans="1:17" ht="6" customHeight="1" x14ac:dyDescent="0.25">
      <c r="A43" s="109"/>
      <c r="B43" s="117"/>
      <c r="C43" s="124"/>
      <c r="D43" s="117"/>
      <c r="E43" s="124"/>
      <c r="F43" s="117"/>
      <c r="G43" s="117"/>
      <c r="H43" s="117"/>
      <c r="I43" s="117"/>
      <c r="J43" s="117"/>
      <c r="K43" s="124"/>
      <c r="L43" s="117"/>
      <c r="M43" s="124"/>
      <c r="N43" s="117"/>
      <c r="O43" s="117"/>
      <c r="P43" s="117"/>
      <c r="Q43" s="109"/>
    </row>
    <row r="44" spans="1:17" ht="17.25" x14ac:dyDescent="0.25">
      <c r="A44" s="109"/>
      <c r="B44" s="117"/>
      <c r="C44" s="124"/>
      <c r="D44" s="125" t="str">
        <f>IF(OR(P42&gt;0, (P42&lt;0)), "Please review and correct the variance.","")</f>
        <v/>
      </c>
      <c r="E44" s="124"/>
      <c r="F44" s="117"/>
      <c r="G44" s="117"/>
      <c r="H44" s="117"/>
      <c r="I44" s="117"/>
      <c r="J44" s="117"/>
      <c r="K44" s="124"/>
      <c r="L44" s="117"/>
      <c r="M44" s="124"/>
      <c r="N44" s="117"/>
      <c r="O44" s="117"/>
      <c r="P44" s="117"/>
      <c r="Q44" s="109"/>
    </row>
    <row r="45" spans="1:17" x14ac:dyDescent="0.25">
      <c r="A45" s="109"/>
      <c r="B45" s="135" t="s">
        <v>168</v>
      </c>
      <c r="C45" s="135"/>
      <c r="D45" s="109"/>
      <c r="E45" s="110"/>
      <c r="F45" s="109"/>
      <c r="G45" s="109"/>
      <c r="H45" s="109"/>
      <c r="I45" s="109"/>
      <c r="J45" s="109"/>
      <c r="K45" s="110"/>
      <c r="L45" s="109"/>
      <c r="M45" s="110"/>
      <c r="N45" s="109"/>
      <c r="O45" s="109"/>
      <c r="P45" s="109"/>
      <c r="Q45" s="109"/>
    </row>
    <row r="46" spans="1:17" ht="6" customHeight="1" x14ac:dyDescent="0.25">
      <c r="A46" s="109"/>
      <c r="B46" s="109"/>
      <c r="C46" s="110"/>
      <c r="D46" s="109"/>
      <c r="E46" s="110"/>
      <c r="F46" s="109"/>
      <c r="G46" s="109"/>
      <c r="H46" s="109"/>
      <c r="I46" s="109"/>
      <c r="J46" s="109"/>
      <c r="K46" s="110"/>
      <c r="L46" s="109"/>
      <c r="M46" s="110"/>
      <c r="N46" s="109"/>
      <c r="O46" s="109"/>
      <c r="P46" s="109"/>
      <c r="Q46" s="109"/>
    </row>
    <row r="47" spans="1:17" ht="15" customHeight="1" x14ac:dyDescent="0.25">
      <c r="A47" s="109"/>
      <c r="B47" s="438" t="s">
        <v>150</v>
      </c>
      <c r="C47" s="438"/>
      <c r="D47" s="438"/>
      <c r="E47" s="135"/>
      <c r="F47" s="135"/>
      <c r="G47" s="135"/>
      <c r="H47" s="135"/>
      <c r="I47" s="135"/>
      <c r="J47" s="135"/>
      <c r="K47" s="135"/>
      <c r="L47" s="135"/>
      <c r="M47" s="110"/>
      <c r="N47" s="111" t="s">
        <v>151</v>
      </c>
      <c r="O47" s="112"/>
      <c r="P47" s="112"/>
      <c r="Q47" s="109"/>
    </row>
    <row r="48" spans="1:17" ht="15" customHeight="1" x14ac:dyDescent="0.25">
      <c r="A48" s="109"/>
      <c r="B48" s="113" t="s">
        <v>163</v>
      </c>
      <c r="C48" s="219" t="s">
        <v>1686</v>
      </c>
      <c r="E48" s="109"/>
      <c r="G48" s="113"/>
      <c r="H48" s="113"/>
      <c r="I48" s="113"/>
      <c r="J48" s="113"/>
      <c r="K48" s="109"/>
      <c r="L48" s="109"/>
      <c r="M48" s="114"/>
      <c r="N48" s="115" t="str">
        <f>CONCATENATE('LS-Department Note Disclosure'!$A$44," Principal Payments")</f>
        <v>2025–2026 Principal Payments</v>
      </c>
      <c r="O48" s="112"/>
      <c r="P48" s="116" t="s">
        <v>156</v>
      </c>
      <c r="Q48" s="109"/>
    </row>
    <row r="49" spans="1:17" x14ac:dyDescent="0.25">
      <c r="A49" s="109"/>
      <c r="B49" s="118">
        <f>IF('LS-Fund #### Journal Entries'!$F$8="Proprietary - Internal Service Fund",'LS-Fund #### Journal Entries'!$K$76,0)</f>
        <v>0</v>
      </c>
      <c r="C49" s="126"/>
      <c r="E49" s="126"/>
      <c r="G49" s="152"/>
      <c r="H49" s="152"/>
      <c r="I49" s="152"/>
      <c r="J49" s="152"/>
      <c r="K49" s="126"/>
      <c r="L49" s="126"/>
      <c r="M49" s="127"/>
      <c r="N49" s="122">
        <f>ROUND('LS-Department Note Disclosure'!B44,0)</f>
        <v>0</v>
      </c>
      <c r="O49" s="128"/>
      <c r="P49" s="123">
        <f>B49-N49</f>
        <v>0</v>
      </c>
      <c r="Q49" s="109"/>
    </row>
    <row r="50" spans="1:17" ht="6" customHeight="1" x14ac:dyDescent="0.25">
      <c r="A50" s="109"/>
      <c r="B50" s="117"/>
      <c r="C50" s="124"/>
      <c r="D50" s="117"/>
      <c r="E50" s="124"/>
      <c r="F50" s="117"/>
      <c r="G50" s="117"/>
      <c r="H50" s="117"/>
      <c r="I50" s="117"/>
      <c r="J50" s="117"/>
      <c r="K50" s="124"/>
      <c r="L50" s="117"/>
      <c r="M50" s="124"/>
      <c r="N50" s="117"/>
      <c r="O50" s="117"/>
      <c r="P50" s="117"/>
      <c r="Q50" s="109"/>
    </row>
    <row r="51" spans="1:17" ht="17.25" x14ac:dyDescent="0.25">
      <c r="A51" s="109"/>
      <c r="B51" s="109"/>
      <c r="C51" s="109"/>
      <c r="D51" s="125" t="str">
        <f>IF(OR(P49&gt;0, (P49&lt;0)), "Please review and correct the variance.","")</f>
        <v/>
      </c>
      <c r="E51" s="109"/>
      <c r="F51" s="109"/>
      <c r="G51" s="109"/>
      <c r="H51" s="109"/>
      <c r="I51" s="109"/>
      <c r="J51" s="109"/>
      <c r="K51" s="109"/>
      <c r="L51" s="109"/>
      <c r="M51" s="109"/>
      <c r="N51" s="109"/>
      <c r="O51" s="109"/>
      <c r="P51" s="109"/>
      <c r="Q51" s="109"/>
    </row>
    <row r="52" spans="1:17" ht="6" customHeight="1" x14ac:dyDescent="0.25">
      <c r="A52" s="109"/>
      <c r="B52" s="126"/>
      <c r="C52" s="110"/>
      <c r="D52" s="126"/>
      <c r="E52" s="110"/>
      <c r="F52" s="126"/>
      <c r="G52" s="126"/>
      <c r="H52" s="126"/>
      <c r="I52" s="126"/>
      <c r="J52" s="126"/>
      <c r="K52" s="110"/>
      <c r="L52" s="126"/>
      <c r="M52" s="110"/>
      <c r="N52" s="126"/>
      <c r="O52" s="126"/>
      <c r="P52" s="126"/>
      <c r="Q52" s="109"/>
    </row>
    <row r="53" spans="1:17" x14ac:dyDescent="0.25">
      <c r="A53" s="109"/>
      <c r="B53" s="135" t="s">
        <v>169</v>
      </c>
      <c r="C53" s="135"/>
      <c r="D53" s="109"/>
      <c r="E53" s="110"/>
      <c r="F53" s="109"/>
      <c r="G53" s="109"/>
      <c r="H53" s="109"/>
      <c r="I53" s="109"/>
      <c r="J53" s="109"/>
      <c r="K53" s="110"/>
      <c r="L53" s="109"/>
      <c r="M53" s="110"/>
      <c r="N53" s="109"/>
      <c r="O53" s="109"/>
      <c r="P53" s="109"/>
      <c r="Q53" s="109"/>
    </row>
    <row r="54" spans="1:17" ht="6" customHeight="1" x14ac:dyDescent="0.25">
      <c r="A54" s="109"/>
      <c r="B54" s="109"/>
      <c r="C54" s="110"/>
      <c r="D54" s="109"/>
      <c r="E54" s="110"/>
      <c r="F54" s="109"/>
      <c r="G54" s="109"/>
      <c r="H54" s="109"/>
      <c r="I54" s="109"/>
      <c r="J54" s="109"/>
      <c r="K54" s="110"/>
      <c r="L54" s="109"/>
      <c r="M54" s="110"/>
      <c r="N54" s="109"/>
      <c r="O54" s="109"/>
      <c r="P54" s="109"/>
      <c r="Q54" s="109"/>
    </row>
    <row r="55" spans="1:17" ht="15" customHeight="1" x14ac:dyDescent="0.25">
      <c r="A55" s="109"/>
      <c r="B55" s="438" t="s">
        <v>150</v>
      </c>
      <c r="C55" s="438"/>
      <c r="D55" s="438"/>
      <c r="E55" s="135"/>
      <c r="F55" s="135"/>
      <c r="G55" s="135"/>
      <c r="H55" s="135"/>
      <c r="I55" s="135"/>
      <c r="J55" s="135"/>
      <c r="K55" s="135"/>
      <c r="L55" s="135"/>
      <c r="M55" s="110"/>
      <c r="N55" s="111" t="s">
        <v>151</v>
      </c>
      <c r="O55" s="112"/>
      <c r="P55" s="112"/>
      <c r="Q55" s="109"/>
    </row>
    <row r="56" spans="1:17" ht="15" customHeight="1" x14ac:dyDescent="0.25">
      <c r="A56" s="109"/>
      <c r="B56" s="113" t="s">
        <v>163</v>
      </c>
      <c r="C56" s="219" t="s">
        <v>1686</v>
      </c>
      <c r="E56" s="109"/>
      <c r="G56" s="113"/>
      <c r="H56" s="113"/>
      <c r="I56" s="113"/>
      <c r="J56" s="113"/>
      <c r="K56" s="109"/>
      <c r="L56" s="109"/>
      <c r="M56" s="114"/>
      <c r="N56" s="115" t="str">
        <f>CONCATENATE('LS-Department Note Disclosure'!$A$75," Principal Payments")</f>
        <v>2025–2026 Principal Payments</v>
      </c>
      <c r="O56" s="112"/>
      <c r="P56" s="116" t="s">
        <v>156</v>
      </c>
      <c r="Q56" s="109"/>
    </row>
    <row r="57" spans="1:17" x14ac:dyDescent="0.25">
      <c r="A57" s="109"/>
      <c r="B57" s="118">
        <f>IF('LS-Fund #### Journal Entries'!$F$8="Proprietary - Enterprise Fund",'LS-Fund #### Journal Entries'!$K$76,0)</f>
        <v>0</v>
      </c>
      <c r="C57" s="126"/>
      <c r="E57" s="126"/>
      <c r="G57" s="152"/>
      <c r="H57" s="152"/>
      <c r="I57" s="152"/>
      <c r="J57" s="152"/>
      <c r="K57" s="126"/>
      <c r="L57" s="126"/>
      <c r="M57" s="127"/>
      <c r="N57" s="122">
        <f>ROUND('LS-Department Note Disclosure'!B75,0)</f>
        <v>0</v>
      </c>
      <c r="O57" s="128"/>
      <c r="P57" s="123">
        <f>B57-N57</f>
        <v>0</v>
      </c>
      <c r="Q57" s="109"/>
    </row>
    <row r="58" spans="1:17" ht="6" customHeight="1" x14ac:dyDescent="0.25">
      <c r="A58" s="109"/>
      <c r="B58" s="117"/>
      <c r="C58" s="124"/>
      <c r="D58" s="117"/>
      <c r="E58" s="124"/>
      <c r="F58" s="117"/>
      <c r="G58" s="117"/>
      <c r="H58" s="117"/>
      <c r="I58" s="117"/>
      <c r="J58" s="117"/>
      <c r="K58" s="124"/>
      <c r="L58" s="117"/>
      <c r="M58" s="124"/>
      <c r="N58" s="117"/>
      <c r="O58" s="117"/>
      <c r="P58" s="117"/>
      <c r="Q58" s="109"/>
    </row>
    <row r="59" spans="1:17" ht="17.25" x14ac:dyDescent="0.25">
      <c r="A59" s="109"/>
      <c r="B59" s="109"/>
      <c r="C59" s="109"/>
      <c r="D59" s="125" t="str">
        <f>IF(OR(P57&gt;0, (P57&lt;0)), "Please review and correct the variance.","")</f>
        <v/>
      </c>
      <c r="E59" s="109"/>
      <c r="F59" s="109"/>
      <c r="G59" s="109"/>
      <c r="H59" s="109"/>
      <c r="I59" s="109"/>
      <c r="J59" s="109"/>
      <c r="K59" s="109"/>
      <c r="L59" s="109"/>
      <c r="M59" s="109"/>
      <c r="N59" s="109"/>
      <c r="O59" s="109"/>
      <c r="P59" s="109"/>
      <c r="Q59" s="109"/>
    </row>
    <row r="60" spans="1:17" ht="6" customHeight="1" x14ac:dyDescent="0.25">
      <c r="A60" s="109"/>
      <c r="B60" s="126"/>
      <c r="C60" s="110"/>
      <c r="D60" s="126"/>
      <c r="E60" s="110"/>
      <c r="F60" s="126"/>
      <c r="G60" s="126"/>
      <c r="H60" s="126"/>
      <c r="I60" s="126"/>
      <c r="J60" s="126"/>
      <c r="K60" s="110"/>
      <c r="L60" s="126"/>
      <c r="M60" s="110"/>
      <c r="N60" s="126"/>
      <c r="O60" s="126"/>
      <c r="P60" s="126"/>
      <c r="Q60" s="109"/>
    </row>
    <row r="61" spans="1:17" x14ac:dyDescent="0.25">
      <c r="A61" s="105" t="s">
        <v>166</v>
      </c>
      <c r="B61" s="106"/>
      <c r="C61" s="107"/>
      <c r="D61" s="106"/>
      <c r="E61" s="107"/>
      <c r="F61" s="106"/>
      <c r="G61" s="106"/>
      <c r="H61" s="106"/>
      <c r="I61" s="106"/>
      <c r="J61" s="106"/>
      <c r="K61" s="107"/>
      <c r="L61" s="106"/>
      <c r="M61" s="107"/>
      <c r="N61" s="106"/>
      <c r="O61" s="106"/>
      <c r="P61" s="106"/>
      <c r="Q61" s="106"/>
    </row>
    <row r="62" spans="1:17" ht="15" customHeight="1" x14ac:dyDescent="0.25">
      <c r="A62" s="109"/>
      <c r="B62" s="135" t="s">
        <v>167</v>
      </c>
      <c r="C62" s="135"/>
      <c r="D62" s="112"/>
      <c r="E62" s="112"/>
      <c r="F62" s="112"/>
      <c r="G62" s="112"/>
      <c r="H62" s="112"/>
      <c r="I62" s="112"/>
      <c r="J62" s="112"/>
      <c r="K62" s="112"/>
      <c r="L62" s="112"/>
      <c r="M62" s="112"/>
      <c r="N62" s="112"/>
      <c r="O62" s="112"/>
      <c r="P62" s="112"/>
      <c r="Q62" s="109"/>
    </row>
    <row r="63" spans="1:17" x14ac:dyDescent="0.25">
      <c r="A63" s="109"/>
      <c r="B63" s="129"/>
      <c r="C63" s="129"/>
      <c r="D63" s="129"/>
      <c r="E63" s="129"/>
      <c r="F63" s="129"/>
      <c r="G63" s="129"/>
      <c r="H63" s="129"/>
      <c r="I63" s="129"/>
      <c r="J63" s="129"/>
      <c r="K63" s="129"/>
      <c r="L63" s="129"/>
      <c r="M63" s="129"/>
      <c r="N63" s="129"/>
      <c r="O63" s="129"/>
      <c r="P63" s="129"/>
      <c r="Q63" s="109"/>
    </row>
    <row r="64" spans="1:17" ht="15" customHeight="1" x14ac:dyDescent="0.25">
      <c r="A64" s="109"/>
      <c r="B64" s="439" t="s">
        <v>150</v>
      </c>
      <c r="C64" s="439"/>
      <c r="D64" s="439"/>
      <c r="E64" s="439"/>
      <c r="F64" s="439"/>
      <c r="G64" s="439"/>
      <c r="H64" s="439"/>
      <c r="I64" s="129"/>
      <c r="J64" s="111" t="s">
        <v>1653</v>
      </c>
      <c r="K64" s="129"/>
      <c r="L64" s="439" t="s">
        <v>13</v>
      </c>
      <c r="M64" s="439"/>
      <c r="N64" s="439"/>
      <c r="O64" s="129"/>
      <c r="P64" s="129"/>
      <c r="Q64" s="109"/>
    </row>
    <row r="65" spans="1:17" x14ac:dyDescent="0.25">
      <c r="A65" s="109"/>
      <c r="B65" s="109"/>
      <c r="C65" s="109"/>
      <c r="D65" s="109"/>
      <c r="E65" s="109"/>
      <c r="F65" s="109"/>
      <c r="G65" s="109"/>
      <c r="H65" s="109"/>
      <c r="I65" s="109"/>
      <c r="J65" s="109"/>
      <c r="K65" s="109"/>
      <c r="L65" s="109"/>
      <c r="M65" s="109"/>
      <c r="N65" s="109"/>
      <c r="O65" s="109"/>
      <c r="P65" s="116" t="s">
        <v>156</v>
      </c>
      <c r="Q65" s="109"/>
    </row>
    <row r="66" spans="1:17" x14ac:dyDescent="0.25">
      <c r="B66" s="113" t="s">
        <v>152</v>
      </c>
      <c r="D66" s="131">
        <f>$B$16</f>
        <v>0</v>
      </c>
      <c r="J66" s="131">
        <f>ROUND(SUM(D66),0)</f>
        <v>0</v>
      </c>
      <c r="L66" s="132" t="str">
        <f>CONCATENATE("Balance July 1, ",LEFT('LS-Department Note Disclosure'!$B$8,4))</f>
        <v>Balance July 1, 2024</v>
      </c>
      <c r="N66" s="131">
        <f>ROUND('LS-Lease Liabilities'!F10,0)</f>
        <v>0</v>
      </c>
      <c r="P66" s="123">
        <f>J66-N66</f>
        <v>0</v>
      </c>
    </row>
    <row r="67" spans="1:17" x14ac:dyDescent="0.25">
      <c r="B67" s="113" t="s">
        <v>164</v>
      </c>
      <c r="D67" s="131">
        <f>$D$16</f>
        <v>0</v>
      </c>
      <c r="E67" s="156" t="s">
        <v>153</v>
      </c>
      <c r="F67" s="113" t="s">
        <v>1738</v>
      </c>
      <c r="H67" s="131">
        <f>$J$16</f>
        <v>0</v>
      </c>
      <c r="J67" s="131">
        <f>ROUND(SUM(D67,H67),0)</f>
        <v>0</v>
      </c>
      <c r="L67" s="132" t="s">
        <v>14</v>
      </c>
      <c r="N67" s="131">
        <f>ROUND('LS-Lease Liabilities'!H10,0)</f>
        <v>0</v>
      </c>
      <c r="P67" s="123">
        <f>J67-N67</f>
        <v>0</v>
      </c>
    </row>
    <row r="68" spans="1:17" x14ac:dyDescent="0.25">
      <c r="B68" s="113" t="s">
        <v>159</v>
      </c>
      <c r="D68" s="131">
        <f>$F$16</f>
        <v>0</v>
      </c>
      <c r="E68" s="156" t="s">
        <v>153</v>
      </c>
      <c r="F68" s="113" t="s">
        <v>1735</v>
      </c>
      <c r="H68" s="131">
        <f>$H$16</f>
        <v>0</v>
      </c>
      <c r="J68" s="131">
        <f>ROUND(SUM(D68,H68),0)</f>
        <v>0</v>
      </c>
      <c r="L68" s="132" t="s">
        <v>15</v>
      </c>
      <c r="N68" s="131">
        <f>ROUND('LS-Lease Liabilities'!J10,0)</f>
        <v>0</v>
      </c>
      <c r="P68" s="123">
        <f>J68-N68</f>
        <v>0</v>
      </c>
    </row>
    <row r="69" spans="1:17" x14ac:dyDescent="0.25">
      <c r="B69" s="113" t="s">
        <v>163</v>
      </c>
      <c r="D69" s="131">
        <f>$B$42</f>
        <v>0</v>
      </c>
      <c r="J69" s="131">
        <f>ROUND(SUM(D69),0)</f>
        <v>0</v>
      </c>
      <c r="L69" s="132" t="s">
        <v>16</v>
      </c>
      <c r="N69" s="131">
        <f>ROUND('LS-Lease Liabilities'!N10,0)</f>
        <v>0</v>
      </c>
      <c r="P69" s="123">
        <f>J69-N69</f>
        <v>0</v>
      </c>
    </row>
    <row r="70" spans="1:17" x14ac:dyDescent="0.25">
      <c r="D70" s="133"/>
    </row>
    <row r="71" spans="1:17" ht="15.95" customHeight="1" x14ac:dyDescent="0.25">
      <c r="D71" s="125" t="str">
        <f>IF(OR(P66&gt;0, (P66&lt;0),P67&gt;0,P67&lt;0,P68&gt;0,P68&lt;0,P69&gt;0,P69&lt;0), "Please review and correct the variance.","")</f>
        <v/>
      </c>
    </row>
    <row r="72" spans="1:17" ht="6" customHeight="1" x14ac:dyDescent="0.25">
      <c r="D72" s="133"/>
    </row>
    <row r="73" spans="1:17" x14ac:dyDescent="0.25">
      <c r="B73" s="134" t="s">
        <v>168</v>
      </c>
      <c r="C73" s="134"/>
    </row>
    <row r="74" spans="1:17" x14ac:dyDescent="0.25">
      <c r="B74" s="134"/>
    </row>
    <row r="75" spans="1:17" ht="15" customHeight="1" x14ac:dyDescent="0.25">
      <c r="B75" s="439" t="s">
        <v>150</v>
      </c>
      <c r="C75" s="439"/>
      <c r="D75" s="439"/>
      <c r="E75" s="439"/>
      <c r="F75" s="439"/>
      <c r="G75" s="439"/>
      <c r="H75" s="439"/>
      <c r="I75" s="129"/>
      <c r="J75" s="111" t="s">
        <v>1653</v>
      </c>
      <c r="K75" s="129"/>
      <c r="L75" s="439" t="s">
        <v>13</v>
      </c>
      <c r="M75" s="439"/>
      <c r="N75" s="439"/>
    </row>
    <row r="76" spans="1:17" x14ac:dyDescent="0.25">
      <c r="L76" s="109"/>
      <c r="M76" s="109"/>
      <c r="N76" s="109"/>
      <c r="O76" s="109"/>
      <c r="P76" s="116" t="s">
        <v>156</v>
      </c>
    </row>
    <row r="77" spans="1:17" x14ac:dyDescent="0.25">
      <c r="B77" s="113" t="s">
        <v>152</v>
      </c>
      <c r="D77" s="131">
        <f>B24</f>
        <v>0</v>
      </c>
      <c r="J77" s="131">
        <f>ROUND(SUM(D77),0)</f>
        <v>0</v>
      </c>
      <c r="L77" s="132" t="str">
        <f>CONCATENATE("Balance July 1, ",LEFT('LS-Department Note Disclosure'!$B$8,4))</f>
        <v>Balance July 1, 2024</v>
      </c>
      <c r="N77" s="131">
        <f>ROUND('LS-Lease Liabilities'!F14,0)</f>
        <v>0</v>
      </c>
      <c r="P77" s="123">
        <f>J77-N77</f>
        <v>0</v>
      </c>
    </row>
    <row r="78" spans="1:17" x14ac:dyDescent="0.25">
      <c r="B78" s="113" t="s">
        <v>164</v>
      </c>
      <c r="D78" s="131">
        <f>D24</f>
        <v>0</v>
      </c>
      <c r="E78" s="156" t="s">
        <v>153</v>
      </c>
      <c r="F78" s="113" t="s">
        <v>1738</v>
      </c>
      <c r="H78" s="131">
        <f>$J$24</f>
        <v>0</v>
      </c>
      <c r="J78" s="131">
        <f>ROUND(SUM(D78,H78),0)</f>
        <v>0</v>
      </c>
      <c r="L78" s="132" t="s">
        <v>14</v>
      </c>
      <c r="N78" s="131">
        <f>ROUND('LS-Lease Liabilities'!H14,0)</f>
        <v>0</v>
      </c>
      <c r="P78" s="123">
        <f>J78-N78</f>
        <v>0</v>
      </c>
    </row>
    <row r="79" spans="1:17" x14ac:dyDescent="0.25">
      <c r="B79" s="113" t="s">
        <v>159</v>
      </c>
      <c r="D79" s="131">
        <f>F24</f>
        <v>0</v>
      </c>
      <c r="E79" s="156" t="s">
        <v>153</v>
      </c>
      <c r="F79" s="113" t="s">
        <v>1735</v>
      </c>
      <c r="H79" s="131">
        <f>$H$24</f>
        <v>0</v>
      </c>
      <c r="J79" s="131">
        <f>ROUND(SUM(D79,H79),0)</f>
        <v>0</v>
      </c>
      <c r="L79" s="132" t="s">
        <v>15</v>
      </c>
      <c r="N79" s="131">
        <f>ROUND('LS-Lease Liabilities'!J14,0)</f>
        <v>0</v>
      </c>
      <c r="P79" s="123">
        <f>J79-N79</f>
        <v>0</v>
      </c>
    </row>
    <row r="80" spans="1:17" x14ac:dyDescent="0.25">
      <c r="B80" s="113" t="s">
        <v>163</v>
      </c>
      <c r="D80" s="131">
        <f>B49</f>
        <v>0</v>
      </c>
      <c r="J80" s="131">
        <f>ROUND(SUM(D80),0)</f>
        <v>0</v>
      </c>
      <c r="L80" s="132" t="s">
        <v>16</v>
      </c>
      <c r="N80" s="131">
        <f>ROUND('LS-Lease Liabilities'!N14,0)</f>
        <v>0</v>
      </c>
      <c r="P80" s="123">
        <f>J80-N80</f>
        <v>0</v>
      </c>
    </row>
    <row r="81" spans="2:16" x14ac:dyDescent="0.25"/>
    <row r="82" spans="2:16" x14ac:dyDescent="0.25"/>
    <row r="83" spans="2:16" ht="4.9000000000000004" customHeight="1" x14ac:dyDescent="0.25"/>
    <row r="84" spans="2:16" x14ac:dyDescent="0.25">
      <c r="B84" s="134" t="s">
        <v>169</v>
      </c>
      <c r="C84" s="134"/>
    </row>
    <row r="85" spans="2:16" x14ac:dyDescent="0.25">
      <c r="B85" s="134"/>
    </row>
    <row r="86" spans="2:16" ht="15" customHeight="1" x14ac:dyDescent="0.25">
      <c r="B86" s="439" t="s">
        <v>150</v>
      </c>
      <c r="C86" s="439"/>
      <c r="D86" s="439"/>
      <c r="E86" s="439"/>
      <c r="F86" s="439"/>
      <c r="G86" s="439"/>
      <c r="H86" s="439"/>
      <c r="I86" s="129"/>
      <c r="J86" s="111" t="s">
        <v>1653</v>
      </c>
      <c r="K86" s="129"/>
      <c r="L86" s="439" t="s">
        <v>13</v>
      </c>
      <c r="M86" s="439"/>
      <c r="N86" s="439"/>
    </row>
    <row r="87" spans="2:16" x14ac:dyDescent="0.25">
      <c r="L87" s="109"/>
      <c r="M87" s="109"/>
      <c r="N87" s="109"/>
      <c r="O87" s="109"/>
      <c r="P87" s="116" t="s">
        <v>156</v>
      </c>
    </row>
    <row r="88" spans="2:16" x14ac:dyDescent="0.25">
      <c r="B88" s="113" t="s">
        <v>152</v>
      </c>
      <c r="D88" s="131">
        <f>B33</f>
        <v>0</v>
      </c>
      <c r="J88" s="131">
        <f>ROUND(SUM(D88),0)</f>
        <v>0</v>
      </c>
      <c r="L88" s="132" t="str">
        <f>CONCATENATE("Balance July 1, ",LEFT('LS-Department Note Disclosure'!$B$8,4))</f>
        <v>Balance July 1, 2024</v>
      </c>
      <c r="N88" s="131">
        <f>ROUND('LS-Lease Liabilities'!F18,0)</f>
        <v>0</v>
      </c>
      <c r="P88" s="123">
        <f>J88-N88</f>
        <v>0</v>
      </c>
    </row>
    <row r="89" spans="2:16" x14ac:dyDescent="0.25">
      <c r="B89" s="113" t="s">
        <v>164</v>
      </c>
      <c r="D89" s="131">
        <f>D33</f>
        <v>0</v>
      </c>
      <c r="E89" s="156" t="s">
        <v>153</v>
      </c>
      <c r="F89" s="113" t="s">
        <v>1738</v>
      </c>
      <c r="H89" s="131">
        <f>$J$33</f>
        <v>0</v>
      </c>
      <c r="J89" s="131">
        <f>ROUND(SUM(D89,H89),0)</f>
        <v>0</v>
      </c>
      <c r="L89" s="132" t="s">
        <v>14</v>
      </c>
      <c r="N89" s="131">
        <f>ROUND('LS-Lease Liabilities'!H18,0)</f>
        <v>0</v>
      </c>
      <c r="P89" s="123">
        <f>J89-N89</f>
        <v>0</v>
      </c>
    </row>
    <row r="90" spans="2:16" x14ac:dyDescent="0.25">
      <c r="B90" s="113" t="s">
        <v>159</v>
      </c>
      <c r="D90" s="131">
        <f>F33</f>
        <v>0</v>
      </c>
      <c r="E90" s="156" t="s">
        <v>153</v>
      </c>
      <c r="F90" s="113" t="s">
        <v>1735</v>
      </c>
      <c r="H90" s="131">
        <f>$H$33</f>
        <v>0</v>
      </c>
      <c r="J90" s="131">
        <f>ROUND(SUM(D90,H90),0)</f>
        <v>0</v>
      </c>
      <c r="L90" s="132" t="s">
        <v>15</v>
      </c>
      <c r="N90" s="131">
        <f>ROUND('LS-Lease Liabilities'!J18,0)</f>
        <v>0</v>
      </c>
      <c r="P90" s="123">
        <f>J90-N90</f>
        <v>0</v>
      </c>
    </row>
    <row r="91" spans="2:16" x14ac:dyDescent="0.25">
      <c r="B91" s="113" t="s">
        <v>163</v>
      </c>
      <c r="D91" s="131">
        <f>B57</f>
        <v>0</v>
      </c>
      <c r="J91" s="131">
        <f>ROUND(SUM(D91),0)</f>
        <v>0</v>
      </c>
      <c r="L91" s="132" t="s">
        <v>16</v>
      </c>
      <c r="N91" s="131">
        <f>ROUND('LS-Lease Liabilities'!N18,0)</f>
        <v>0</v>
      </c>
      <c r="P91" s="123">
        <f>J91-N91</f>
        <v>0</v>
      </c>
    </row>
    <row r="92" spans="2:16" x14ac:dyDescent="0.25"/>
    <row r="93" spans="2:16" ht="17.25" x14ac:dyDescent="0.25">
      <c r="D93" s="125" t="str">
        <f>IF(OR(P88&gt;0, (P88&lt;0),P89&gt;0,P89&lt;0,P90&gt;0,P90&lt;0,P91&gt;0,P91&lt;0), "Please review and correct the variance.","")</f>
        <v/>
      </c>
    </row>
    <row r="94" spans="2:16" x14ac:dyDescent="0.25"/>
    <row r="95" spans="2:16" x14ac:dyDescent="0.25"/>
    <row r="96" spans="2:1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sheetData>
  <sheetProtection algorithmName="SHA-512" hashValue="ux6a7bodIgvqjBHB7AnZ9RKmaKA08/6Tp7A0CbAdVzt6tGBHIir5Wm7hTKwpCUwUWbysN1nNtJmxqi6OYJIxkg==" saltValue="/+DLUxuqFBYn7IyeMH2WHw==" spinCount="100000" sheet="1" objects="1" scenarios="1"/>
  <mergeCells count="14">
    <mergeCell ref="A5:Q7"/>
    <mergeCell ref="A8:Q9"/>
    <mergeCell ref="B13:L13"/>
    <mergeCell ref="B30:L30"/>
    <mergeCell ref="L86:N86"/>
    <mergeCell ref="B21:L21"/>
    <mergeCell ref="L75:N75"/>
    <mergeCell ref="L64:N64"/>
    <mergeCell ref="B86:H86"/>
    <mergeCell ref="B75:H75"/>
    <mergeCell ref="B64:H64"/>
    <mergeCell ref="B40:D40"/>
    <mergeCell ref="B47:D47"/>
    <mergeCell ref="B55:D55"/>
  </mergeCells>
  <conditionalFormatting sqref="P16">
    <cfRule type="cellIs" dxfId="120" priority="21" operator="lessThan">
      <formula>0</formula>
    </cfRule>
    <cfRule type="cellIs" dxfId="119" priority="22" operator="greaterThan">
      <formula>0</formula>
    </cfRule>
  </conditionalFormatting>
  <conditionalFormatting sqref="P24">
    <cfRule type="cellIs" dxfId="118" priority="9" operator="lessThan">
      <formula>0</formula>
    </cfRule>
    <cfRule type="cellIs" dxfId="117" priority="10" operator="greaterThan">
      <formula>0</formula>
    </cfRule>
  </conditionalFormatting>
  <conditionalFormatting sqref="P33">
    <cfRule type="cellIs" dxfId="116" priority="19" operator="lessThan">
      <formula>0</formula>
    </cfRule>
    <cfRule type="cellIs" dxfId="115" priority="20" operator="greaterThan">
      <formula>0</formula>
    </cfRule>
  </conditionalFormatting>
  <conditionalFormatting sqref="P42">
    <cfRule type="cellIs" dxfId="114" priority="17" operator="lessThan">
      <formula>0</formula>
    </cfRule>
    <cfRule type="cellIs" dxfId="113" priority="18" operator="greaterThan">
      <formula>0</formula>
    </cfRule>
  </conditionalFormatting>
  <conditionalFormatting sqref="P49">
    <cfRule type="cellIs" dxfId="112" priority="7" operator="lessThan">
      <formula>0</formula>
    </cfRule>
    <cfRule type="cellIs" dxfId="111" priority="8" operator="greaterThan">
      <formula>0</formula>
    </cfRule>
  </conditionalFormatting>
  <conditionalFormatting sqref="P57">
    <cfRule type="cellIs" dxfId="110" priority="15" operator="lessThan">
      <formula>0</formula>
    </cfRule>
    <cfRule type="cellIs" dxfId="109" priority="16" operator="greaterThan">
      <formula>0</formula>
    </cfRule>
  </conditionalFormatting>
  <conditionalFormatting sqref="P66:P69">
    <cfRule type="cellIs" dxfId="108" priority="13" operator="lessThan">
      <formula>0</formula>
    </cfRule>
    <cfRule type="cellIs" dxfId="107" priority="14" operator="greaterThan">
      <formula>0</formula>
    </cfRule>
  </conditionalFormatting>
  <conditionalFormatting sqref="P77:P80">
    <cfRule type="cellIs" dxfId="106" priority="3" operator="lessThan">
      <formula>0</formula>
    </cfRule>
    <cfRule type="cellIs" dxfId="105" priority="4" operator="greaterThan">
      <formula>0</formula>
    </cfRule>
  </conditionalFormatting>
  <conditionalFormatting sqref="P88:P91">
    <cfRule type="cellIs" dxfId="104" priority="1" operator="lessThan">
      <formula>0</formula>
    </cfRule>
    <cfRule type="cellIs" dxfId="103" priority="2" operator="greaterThan">
      <formula>0</formula>
    </cfRule>
  </conditionalFormatting>
  <pageMargins left="0.7" right="0.7" top="0.75" bottom="0.75" header="0.3" footer="0.3"/>
  <pageSetup scale="7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75DBFF"/>
  </sheetPr>
  <dimension ref="A1:F20"/>
  <sheetViews>
    <sheetView zoomScale="90" zoomScaleNormal="90" workbookViewId="0">
      <pane ySplit="10" topLeftCell="A16" activePane="bottomLeft" state="frozen"/>
      <selection activeCell="H56" sqref="H56"/>
      <selection pane="bottomLeft" sqref="A1:F2"/>
    </sheetView>
  </sheetViews>
  <sheetFormatPr defaultColWidth="8.85546875" defaultRowHeight="14.25" x14ac:dyDescent="0.25"/>
  <cols>
    <col min="1" max="1" width="18.85546875" style="222" customWidth="1"/>
    <col min="2" max="2" width="21.5703125" style="222" customWidth="1"/>
    <col min="3" max="3" width="15.85546875" style="222" customWidth="1"/>
    <col min="4" max="4" width="16.42578125" style="222" customWidth="1"/>
    <col min="5" max="5" width="65.7109375" style="222" customWidth="1"/>
    <col min="6" max="6" width="26.28515625" style="222" customWidth="1"/>
    <col min="7" max="16384" width="8.85546875" style="222"/>
  </cols>
  <sheetData>
    <row r="1" spans="1:6" x14ac:dyDescent="0.25">
      <c r="A1" s="383" t="s">
        <v>1754</v>
      </c>
      <c r="B1" s="384"/>
      <c r="C1" s="384"/>
      <c r="D1" s="384"/>
      <c r="E1" s="384"/>
      <c r="F1" s="385"/>
    </row>
    <row r="2" spans="1:6" x14ac:dyDescent="0.25">
      <c r="A2" s="386"/>
      <c r="B2" s="387"/>
      <c r="C2" s="387"/>
      <c r="D2" s="387"/>
      <c r="E2" s="387"/>
      <c r="F2" s="388"/>
    </row>
    <row r="4" spans="1:6" ht="15" x14ac:dyDescent="0.25">
      <c r="A4" s="223" t="s">
        <v>1747</v>
      </c>
      <c r="B4" s="224" t="s">
        <v>1884</v>
      </c>
    </row>
    <row r="5" spans="1:6" ht="15" x14ac:dyDescent="0.25">
      <c r="A5" s="223" t="s">
        <v>1755</v>
      </c>
      <c r="B5" s="224" t="s">
        <v>1891</v>
      </c>
    </row>
    <row r="6" spans="1:6" ht="15" x14ac:dyDescent="0.25">
      <c r="A6" s="223"/>
      <c r="B6" s="224"/>
    </row>
    <row r="7" spans="1:6" ht="15" x14ac:dyDescent="0.25">
      <c r="A7" s="225" t="s">
        <v>1720</v>
      </c>
      <c r="B7" s="224"/>
    </row>
    <row r="8" spans="1:6" ht="15" x14ac:dyDescent="0.25">
      <c r="B8" s="226"/>
      <c r="C8" s="224"/>
    </row>
    <row r="9" spans="1:6" ht="15" x14ac:dyDescent="0.25">
      <c r="A9" s="227" t="s">
        <v>1712</v>
      </c>
    </row>
    <row r="10" spans="1:6" ht="15" x14ac:dyDescent="0.25">
      <c r="A10" s="228" t="s">
        <v>1713</v>
      </c>
      <c r="B10" s="228" t="s">
        <v>1714</v>
      </c>
      <c r="C10" s="228" t="s">
        <v>1746</v>
      </c>
      <c r="D10" s="228" t="s">
        <v>1784</v>
      </c>
      <c r="E10" s="228" t="s">
        <v>1715</v>
      </c>
      <c r="F10" s="228" t="s">
        <v>1716</v>
      </c>
    </row>
    <row r="11" spans="1:6" ht="71.25" x14ac:dyDescent="0.25">
      <c r="A11" s="222" t="s">
        <v>1813</v>
      </c>
      <c r="B11" s="354" t="s">
        <v>1803</v>
      </c>
      <c r="C11" s="354" t="s">
        <v>1717</v>
      </c>
      <c r="D11" s="354" t="s">
        <v>1842</v>
      </c>
      <c r="E11" s="354" t="s">
        <v>1822</v>
      </c>
      <c r="F11" s="354" t="s">
        <v>1823</v>
      </c>
    </row>
    <row r="12" spans="1:6" ht="57" x14ac:dyDescent="0.25">
      <c r="A12" s="222" t="s">
        <v>1813</v>
      </c>
      <c r="B12" s="354" t="s">
        <v>1803</v>
      </c>
      <c r="C12" s="354" t="s">
        <v>1717</v>
      </c>
      <c r="D12" s="354" t="s">
        <v>1814</v>
      </c>
      <c r="E12" s="354" t="s">
        <v>1824</v>
      </c>
      <c r="F12" s="354" t="s">
        <v>1817</v>
      </c>
    </row>
    <row r="13" spans="1:6" ht="57" x14ac:dyDescent="0.25">
      <c r="A13" s="222" t="s">
        <v>1813</v>
      </c>
      <c r="B13" s="354" t="s">
        <v>1803</v>
      </c>
      <c r="C13" s="354" t="s">
        <v>1717</v>
      </c>
      <c r="D13" s="354" t="s">
        <v>1815</v>
      </c>
      <c r="E13" s="354" t="s">
        <v>1825</v>
      </c>
      <c r="F13" s="354" t="s">
        <v>1818</v>
      </c>
    </row>
    <row r="14" spans="1:6" ht="57" x14ac:dyDescent="0.25">
      <c r="A14" s="222" t="s">
        <v>1813</v>
      </c>
      <c r="B14" s="354" t="s">
        <v>1803</v>
      </c>
      <c r="C14" s="354" t="s">
        <v>1717</v>
      </c>
      <c r="D14" s="354" t="s">
        <v>1816</v>
      </c>
      <c r="E14" s="354" t="s">
        <v>1826</v>
      </c>
      <c r="F14" s="354" t="s">
        <v>1827</v>
      </c>
    </row>
    <row r="15" spans="1:6" ht="28.5" x14ac:dyDescent="0.25">
      <c r="A15" s="222" t="s">
        <v>1813</v>
      </c>
      <c r="B15" s="354" t="s">
        <v>1799</v>
      </c>
      <c r="C15" s="354" t="s">
        <v>1717</v>
      </c>
      <c r="D15" s="354" t="s">
        <v>1800</v>
      </c>
      <c r="E15" s="354" t="s">
        <v>1801</v>
      </c>
      <c r="F15" s="354" t="s">
        <v>1802</v>
      </c>
    </row>
    <row r="16" spans="1:6" ht="42.75" x14ac:dyDescent="0.25">
      <c r="A16" s="222" t="s">
        <v>1828</v>
      </c>
      <c r="B16" s="354" t="s">
        <v>1829</v>
      </c>
      <c r="C16" s="354" t="s">
        <v>1830</v>
      </c>
      <c r="D16" s="354" t="s">
        <v>1830</v>
      </c>
      <c r="E16" s="354" t="s">
        <v>1870</v>
      </c>
      <c r="F16" s="222" t="s">
        <v>1718</v>
      </c>
    </row>
    <row r="17" spans="1:6" ht="57" x14ac:dyDescent="0.25">
      <c r="A17" s="222" t="s">
        <v>1828</v>
      </c>
      <c r="B17" s="354" t="s">
        <v>1831</v>
      </c>
      <c r="C17" s="354" t="s">
        <v>1832</v>
      </c>
      <c r="D17" s="354" t="s">
        <v>1832</v>
      </c>
      <c r="E17" s="354" t="s">
        <v>1833</v>
      </c>
      <c r="F17" s="222" t="s">
        <v>1834</v>
      </c>
    </row>
    <row r="18" spans="1:6" ht="42.75" x14ac:dyDescent="0.25">
      <c r="A18" s="222" t="s">
        <v>1828</v>
      </c>
      <c r="B18" s="354" t="s">
        <v>1799</v>
      </c>
      <c r="C18" s="354" t="s">
        <v>1717</v>
      </c>
      <c r="D18" s="354" t="s">
        <v>1835</v>
      </c>
      <c r="E18" s="354" t="s">
        <v>1836</v>
      </c>
      <c r="F18" s="354" t="s">
        <v>1802</v>
      </c>
    </row>
    <row r="19" spans="1:6" ht="59.25" customHeight="1" x14ac:dyDescent="0.25">
      <c r="A19" s="222" t="s">
        <v>1828</v>
      </c>
      <c r="B19" s="354" t="s">
        <v>1803</v>
      </c>
      <c r="C19" s="354" t="s">
        <v>1717</v>
      </c>
      <c r="D19" s="354" t="s">
        <v>1886</v>
      </c>
      <c r="E19" s="354" t="s">
        <v>1822</v>
      </c>
      <c r="F19" s="354" t="s">
        <v>1823</v>
      </c>
    </row>
    <row r="20" spans="1:6" ht="42.75" x14ac:dyDescent="0.25">
      <c r="A20" s="222" t="s">
        <v>1837</v>
      </c>
      <c r="B20" s="222" t="s">
        <v>1838</v>
      </c>
      <c r="C20" s="222" t="s">
        <v>1839</v>
      </c>
      <c r="D20" s="222" t="s">
        <v>1839</v>
      </c>
      <c r="E20" s="222" t="s">
        <v>1840</v>
      </c>
      <c r="F20" s="354" t="s">
        <v>1802</v>
      </c>
    </row>
  </sheetData>
  <sheetProtection algorithmName="SHA-512" hashValue="hMUZj26Irlz++ol7pf43m85yI8JX5zx2uxPgiVezKotfe1HRVNbYpr9aNlY/eZEp4YwewCxSsxnwMJKUyG5Y8w==" saltValue="ZxGM/imNw0aCsCDJLiUyNA==" spinCount="100000" sheet="1" sort="0" autoFilter="0" pivotTables="0"/>
  <autoFilter ref="A10:F10" xr:uid="{00000000-0001-0000-0700-000000000000}"/>
  <mergeCells count="1">
    <mergeCell ref="A1:F2"/>
  </mergeCell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75DBFF"/>
    <pageSetUpPr fitToPage="1"/>
  </sheetPr>
  <dimension ref="A1:AF73"/>
  <sheetViews>
    <sheetView topLeftCell="A28" zoomScale="70" zoomScaleNormal="70" zoomScaleSheetLayoutView="80" workbookViewId="0">
      <selection activeCell="Z67" sqref="Z67"/>
    </sheetView>
  </sheetViews>
  <sheetFormatPr defaultColWidth="9.140625" defaultRowHeight="17.45" customHeight="1" x14ac:dyDescent="0.2"/>
  <cols>
    <col min="1" max="1" width="11.7109375" style="1" customWidth="1"/>
    <col min="2" max="4" width="11" style="1" customWidth="1"/>
    <col min="5" max="5" width="40.28515625" style="1" customWidth="1"/>
    <col min="6" max="8" width="12.28515625" style="1" customWidth="1"/>
    <col min="9" max="9" width="12.28515625" style="17" customWidth="1"/>
    <col min="10" max="10" width="19.7109375" style="1" customWidth="1"/>
    <col min="11" max="11" width="20.140625" style="1" customWidth="1"/>
    <col min="12" max="12" width="3.5703125" style="1" customWidth="1"/>
    <col min="13" max="14" width="17.28515625" style="1" customWidth="1"/>
    <col min="15" max="15" width="3.5703125" style="1" customWidth="1"/>
    <col min="16" max="17" width="17.28515625" style="1" customWidth="1"/>
    <col min="18" max="18" width="3.5703125" style="1" customWidth="1"/>
    <col min="19" max="19" width="17.28515625" style="1" customWidth="1"/>
    <col min="20" max="20" width="27.5703125" style="1" customWidth="1"/>
    <col min="21" max="21" width="9.140625" style="1" customWidth="1"/>
    <col min="22" max="24" width="9.140625" style="1"/>
    <col min="25" max="26" width="19.7109375" style="1" customWidth="1"/>
    <col min="27" max="27" width="4" style="1" customWidth="1"/>
    <col min="28" max="29" width="19.7109375" style="1" customWidth="1"/>
    <col min="30" max="30" width="4" style="1" customWidth="1"/>
    <col min="31" max="32" width="19.7109375" style="1" customWidth="1"/>
    <col min="33" max="33" width="22.28515625" style="1" customWidth="1"/>
    <col min="34" max="16384" width="9.140625" style="1"/>
  </cols>
  <sheetData>
    <row r="1" spans="1:32" ht="42.6" customHeight="1" x14ac:dyDescent="0.25">
      <c r="A1" s="399" t="s">
        <v>1885</v>
      </c>
      <c r="B1" s="399"/>
      <c r="C1" s="399"/>
      <c r="D1" s="399"/>
      <c r="E1" s="399"/>
      <c r="F1" s="399"/>
      <c r="G1" s="399"/>
      <c r="H1" s="399"/>
      <c r="I1" s="399"/>
      <c r="J1" s="399"/>
      <c r="K1" s="399"/>
      <c r="L1" s="5"/>
      <c r="M1" s="5"/>
      <c r="N1" s="5"/>
      <c r="O1" s="5"/>
      <c r="P1" s="5"/>
      <c r="Q1" s="5"/>
      <c r="R1" s="5"/>
      <c r="S1" s="5"/>
    </row>
    <row r="2" spans="1:32" ht="17.45" customHeight="1" x14ac:dyDescent="0.25">
      <c r="A2" s="442" t="s">
        <v>0</v>
      </c>
      <c r="B2" s="442"/>
      <c r="C2" s="442"/>
      <c r="D2" s="442"/>
      <c r="E2" s="442"/>
      <c r="F2" s="442"/>
      <c r="G2" s="442"/>
      <c r="H2" s="442"/>
      <c r="I2" s="442"/>
      <c r="J2" s="36"/>
      <c r="L2" s="5"/>
      <c r="M2" s="5"/>
      <c r="N2" s="5"/>
      <c r="O2" s="5"/>
      <c r="P2" s="5"/>
      <c r="Q2" s="5"/>
      <c r="R2" s="5"/>
      <c r="S2" s="5"/>
    </row>
    <row r="3" spans="1:32" ht="17.45" customHeight="1" x14ac:dyDescent="0.25">
      <c r="A3" s="441" t="s">
        <v>1</v>
      </c>
      <c r="B3" s="441"/>
      <c r="C3" s="441"/>
      <c r="D3" s="441"/>
      <c r="E3" s="84" t="s">
        <v>25</v>
      </c>
      <c r="H3" s="7"/>
      <c r="I3" s="7"/>
      <c r="J3" s="7"/>
      <c r="K3" s="7"/>
      <c r="L3" s="7"/>
      <c r="M3" s="7"/>
      <c r="N3" s="7"/>
      <c r="O3" s="7"/>
      <c r="P3" s="7"/>
      <c r="Q3" s="7"/>
      <c r="R3" s="7"/>
    </row>
    <row r="4" spans="1:32" ht="17.45" customHeight="1" x14ac:dyDescent="0.25">
      <c r="A4" s="441" t="s">
        <v>206</v>
      </c>
      <c r="B4" s="441"/>
      <c r="C4" s="441"/>
      <c r="D4" s="441"/>
      <c r="E4" s="86"/>
      <c r="H4" s="7"/>
      <c r="I4" s="7"/>
      <c r="J4" s="7"/>
      <c r="K4" s="7"/>
      <c r="L4" s="7"/>
      <c r="M4" s="7"/>
      <c r="N4" s="7"/>
      <c r="O4" s="7"/>
      <c r="P4" s="7"/>
      <c r="Q4" s="7"/>
      <c r="R4" s="7"/>
    </row>
    <row r="5" spans="1:32" ht="17.45" customHeight="1" x14ac:dyDescent="0.25">
      <c r="A5" s="441" t="s">
        <v>1675</v>
      </c>
      <c r="B5" s="441"/>
      <c r="C5" s="441"/>
      <c r="D5" s="441"/>
      <c r="E5" s="147"/>
      <c r="H5" s="7"/>
      <c r="I5" s="7"/>
      <c r="J5" s="8"/>
      <c r="K5" s="8"/>
      <c r="L5" s="8"/>
      <c r="M5" s="8"/>
      <c r="N5" s="8"/>
      <c r="O5" s="8"/>
      <c r="P5" s="8"/>
      <c r="Q5" s="7"/>
      <c r="R5" s="7"/>
    </row>
    <row r="6" spans="1:32" ht="17.45" customHeight="1" x14ac:dyDescent="0.25">
      <c r="A6" s="441" t="s">
        <v>1676</v>
      </c>
      <c r="B6" s="441"/>
      <c r="C6" s="441"/>
      <c r="D6" s="441"/>
      <c r="E6" s="86"/>
      <c r="G6" s="8"/>
      <c r="H6" s="8"/>
      <c r="I6" s="8"/>
      <c r="J6" s="8"/>
      <c r="K6" s="8"/>
      <c r="L6" s="8"/>
      <c r="M6" s="8"/>
      <c r="N6" s="8"/>
      <c r="O6" s="8"/>
      <c r="P6" s="8"/>
      <c r="Q6" s="7"/>
      <c r="R6" s="7"/>
    </row>
    <row r="7" spans="1:32" ht="17.45" customHeight="1" x14ac:dyDescent="0.25">
      <c r="A7" s="441" t="s">
        <v>3</v>
      </c>
      <c r="B7" s="441"/>
      <c r="C7" s="441"/>
      <c r="D7" s="441"/>
      <c r="E7" s="35"/>
      <c r="G7" s="8"/>
      <c r="H7" s="8"/>
      <c r="I7" s="8"/>
      <c r="J7" s="8"/>
      <c r="K7" s="8"/>
      <c r="L7" s="8"/>
      <c r="M7" s="8"/>
      <c r="N7" s="8"/>
      <c r="O7" s="8"/>
      <c r="P7" s="8"/>
      <c r="Q7" s="7"/>
      <c r="R7" s="7"/>
    </row>
    <row r="8" spans="1:32" ht="17.45" customHeight="1" thickBot="1" x14ac:dyDescent="0.3">
      <c r="A8" s="441" t="s">
        <v>1637</v>
      </c>
      <c r="B8" s="441"/>
      <c r="C8" s="441"/>
      <c r="D8" s="441"/>
      <c r="E8" s="35"/>
      <c r="G8" s="8"/>
      <c r="H8" s="8"/>
      <c r="I8" s="8"/>
      <c r="J8" s="8"/>
      <c r="K8" s="8"/>
      <c r="L8" s="8"/>
      <c r="M8" s="8"/>
      <c r="N8" s="8"/>
      <c r="O8" s="8"/>
      <c r="P8" s="8"/>
      <c r="Q8" s="7"/>
      <c r="R8" s="7"/>
    </row>
    <row r="9" spans="1:32" ht="17.45" customHeight="1" x14ac:dyDescent="0.25">
      <c r="A9" s="6"/>
      <c r="B9" s="6"/>
      <c r="C9" s="6"/>
      <c r="D9" s="6"/>
      <c r="E9" s="13"/>
      <c r="G9" s="7"/>
      <c r="H9" s="7"/>
      <c r="I9" s="7"/>
      <c r="J9" s="6"/>
      <c r="K9" s="9"/>
      <c r="L9" s="9"/>
      <c r="M9" s="9"/>
      <c r="N9" s="10"/>
      <c r="O9" s="10"/>
      <c r="P9" s="7"/>
      <c r="Q9" s="7"/>
      <c r="V9" s="407" t="s">
        <v>1785</v>
      </c>
      <c r="W9" s="408"/>
      <c r="X9" s="408"/>
      <c r="Y9" s="408"/>
      <c r="Z9" s="408"/>
      <c r="AA9" s="256"/>
      <c r="AB9" s="237"/>
      <c r="AC9" s="238"/>
      <c r="AD9" s="237"/>
      <c r="AE9" s="239"/>
      <c r="AF9" s="240"/>
    </row>
    <row r="10" spans="1:32" ht="18" customHeight="1" x14ac:dyDescent="0.3">
      <c r="A10" s="6"/>
      <c r="B10" s="389" t="str">
        <f>IF($E$8="Governmental Fund",'LR-Department Note Disclosure'!$E$37,IF($E$8="Proprietary - Internal Service Fund",'LR-Department Note Disclosure'!$E$68,IF($E$8="Proprietary - Enterprise Fund",'LR-Department Note Disclosure'!E99,"")))</f>
        <v/>
      </c>
      <c r="C10" s="389"/>
      <c r="D10" s="389"/>
      <c r="E10" s="389"/>
      <c r="F10" s="389"/>
      <c r="G10" s="389"/>
      <c r="H10" s="389"/>
      <c r="I10" s="389"/>
      <c r="J10" s="389"/>
      <c r="K10" s="357"/>
      <c r="L10" s="9"/>
      <c r="M10" s="9"/>
      <c r="N10" s="10"/>
      <c r="O10" s="10"/>
      <c r="P10" s="7"/>
      <c r="Q10" s="7"/>
      <c r="V10" s="409"/>
      <c r="W10" s="410"/>
      <c r="X10" s="410"/>
      <c r="Y10" s="410"/>
      <c r="Z10" s="410"/>
      <c r="AA10" s="281"/>
      <c r="AB10" s="282"/>
      <c r="AC10" s="283"/>
      <c r="AD10" s="282"/>
      <c r="AE10" s="241"/>
      <c r="AF10" s="242"/>
    </row>
    <row r="11" spans="1:32" s="163" customFormat="1" ht="21" customHeight="1" x14ac:dyDescent="0.3">
      <c r="A11" s="157" t="s">
        <v>172</v>
      </c>
      <c r="B11" s="158"/>
      <c r="C11" s="159"/>
      <c r="D11" s="159"/>
      <c r="E11" s="159"/>
      <c r="F11" s="160"/>
      <c r="G11" s="160"/>
      <c r="H11" s="161"/>
      <c r="I11" s="161"/>
      <c r="J11" s="160"/>
      <c r="K11" s="160"/>
      <c r="L11" s="39"/>
      <c r="M11" s="39"/>
      <c r="N11" s="162"/>
      <c r="O11" s="162"/>
      <c r="P11" s="162"/>
      <c r="V11" s="305"/>
      <c r="W11" s="306" t="s">
        <v>1786</v>
      </c>
      <c r="X11" s="307"/>
      <c r="Y11" s="307"/>
      <c r="Z11" s="308"/>
      <c r="AA11" s="308"/>
      <c r="AB11" s="308"/>
      <c r="AC11" s="308"/>
      <c r="AD11" s="308"/>
      <c r="AE11" s="308"/>
      <c r="AF11" s="309"/>
    </row>
    <row r="12" spans="1:32" ht="17.45" customHeight="1" x14ac:dyDescent="0.3">
      <c r="A12" s="15" t="s">
        <v>4</v>
      </c>
      <c r="B12" s="6"/>
      <c r="C12" s="140"/>
      <c r="D12" s="140"/>
      <c r="E12" s="140"/>
      <c r="F12" s="140"/>
      <c r="G12" s="140"/>
      <c r="H12" s="140"/>
      <c r="I12" s="140"/>
      <c r="J12" s="6"/>
      <c r="K12" s="9"/>
      <c r="L12" s="9"/>
      <c r="M12" s="9"/>
      <c r="N12" s="10"/>
      <c r="O12" s="10"/>
      <c r="P12" s="7"/>
      <c r="Q12" s="7"/>
      <c r="V12" s="243" t="str">
        <f>A12</f>
        <v>Entry #</v>
      </c>
      <c r="W12" s="284"/>
      <c r="X12" s="284"/>
      <c r="Y12" s="285"/>
      <c r="Z12" s="286"/>
      <c r="AA12" s="266"/>
      <c r="AB12" s="266"/>
      <c r="AC12" s="266"/>
      <c r="AD12" s="266"/>
      <c r="AE12" s="287" t="s">
        <v>1787</v>
      </c>
      <c r="AF12" s="244" t="s">
        <v>1788</v>
      </c>
    </row>
    <row r="13" spans="1:32" s="174" customFormat="1" ht="17.45" customHeight="1" x14ac:dyDescent="0.3">
      <c r="A13" s="169">
        <v>0</v>
      </c>
      <c r="B13" s="199" t="s">
        <v>1655</v>
      </c>
      <c r="C13" s="188"/>
      <c r="D13" s="188"/>
      <c r="E13" s="188"/>
      <c r="F13" s="188"/>
      <c r="G13" s="188"/>
      <c r="H13" s="188"/>
      <c r="I13" s="188"/>
      <c r="J13" s="189"/>
      <c r="M13" s="391" t="s">
        <v>1663</v>
      </c>
      <c r="N13" s="392"/>
      <c r="O13" s="173"/>
      <c r="P13" s="391" t="s">
        <v>1659</v>
      </c>
      <c r="Q13" s="392"/>
      <c r="R13" s="173"/>
      <c r="S13" s="204" t="s">
        <v>1660</v>
      </c>
      <c r="V13" s="245">
        <f>A13</f>
        <v>0</v>
      </c>
      <c r="W13" s="284"/>
      <c r="X13" s="284"/>
      <c r="Y13" s="405" t="str">
        <f>M13</f>
        <v>Combined Lessor Templates</v>
      </c>
      <c r="Z13" s="406"/>
      <c r="AA13" s="266"/>
      <c r="AB13" s="405" t="str">
        <f>P13</f>
        <v>From SCO BB List</v>
      </c>
      <c r="AC13" s="406"/>
      <c r="AD13" s="266"/>
      <c r="AE13" s="405" t="s">
        <v>1789</v>
      </c>
      <c r="AF13" s="406"/>
    </row>
    <row r="14" spans="1:32" ht="17.45" customHeight="1" x14ac:dyDescent="0.2">
      <c r="B14" s="20" t="s">
        <v>210</v>
      </c>
      <c r="C14" s="138"/>
      <c r="D14" s="138"/>
      <c r="E14" s="138"/>
      <c r="F14" s="138"/>
      <c r="G14" s="138"/>
      <c r="H14" s="138"/>
      <c r="I14" s="138"/>
      <c r="J14" s="229">
        <f>M14</f>
        <v>0</v>
      </c>
      <c r="K14" s="37"/>
      <c r="L14" s="37"/>
      <c r="M14" s="181"/>
      <c r="N14" s="37"/>
      <c r="O14" s="37"/>
      <c r="P14" s="181"/>
      <c r="Q14" s="206"/>
      <c r="R14" s="37"/>
      <c r="S14" s="205">
        <f>P14-M14</f>
        <v>0</v>
      </c>
      <c r="T14" s="231" t="s">
        <v>1718</v>
      </c>
      <c r="V14" s="246"/>
      <c r="W14" s="398" t="str">
        <f>LEFT(B14,13)</f>
        <v>Dr: Acct 0417</v>
      </c>
      <c r="X14" s="398"/>
      <c r="Y14" s="263">
        <f>ROUND($J$14,-3)</f>
        <v>0</v>
      </c>
      <c r="Z14" s="247"/>
      <c r="AA14" s="266"/>
      <c r="AB14" s="299">
        <f>ROUND($P$14,-3)</f>
        <v>0</v>
      </c>
      <c r="AC14" s="266"/>
      <c r="AD14" s="266"/>
      <c r="AE14" s="288" t="str">
        <f>IF(Y14&gt;AB14,Y14-AB14,"")</f>
        <v/>
      </c>
      <c r="AF14" s="248" t="str">
        <f>IF(Y14&lt;AB14,-(Y14-AB14),"")</f>
        <v/>
      </c>
    </row>
    <row r="15" spans="1:32" ht="17.45" customHeight="1" x14ac:dyDescent="0.2">
      <c r="A15" s="15"/>
      <c r="B15" s="20" t="s">
        <v>176</v>
      </c>
      <c r="C15" s="138"/>
      <c r="D15" s="138"/>
      <c r="E15" s="138"/>
      <c r="F15" s="138"/>
      <c r="G15" s="138"/>
      <c r="H15" s="138"/>
      <c r="I15" s="138"/>
      <c r="J15" s="229">
        <f>P15</f>
        <v>0</v>
      </c>
      <c r="K15" s="37"/>
      <c r="L15" s="37"/>
      <c r="M15" s="181"/>
      <c r="N15" s="37"/>
      <c r="O15" s="37"/>
      <c r="P15" s="203">
        <f>IF(SUM($Q$17)&gt;SUM($P$14),SUM($Q$17)-SUM($P$14),0)</f>
        <v>0</v>
      </c>
      <c r="Q15" s="206"/>
      <c r="R15" s="37"/>
      <c r="S15" s="205">
        <f>P15-M15</f>
        <v>0</v>
      </c>
      <c r="T15" s="231" t="s">
        <v>1718</v>
      </c>
      <c r="V15" s="249"/>
      <c r="W15" s="398" t="str">
        <f>LEFT(B15,13)</f>
        <v>Dr: Acct 0950</v>
      </c>
      <c r="X15" s="398"/>
      <c r="Y15" s="250">
        <f>ROUND($AB$15,-3)</f>
        <v>0</v>
      </c>
      <c r="Z15" s="247"/>
      <c r="AA15" s="266"/>
      <c r="AB15" s="250">
        <f>IF(SUM($AC$17)&gt;SUM($AB$14),SUM($AC$17)-SUM($AB$14),0)</f>
        <v>0</v>
      </c>
      <c r="AC15" s="266"/>
      <c r="AD15" s="266"/>
      <c r="AE15" s="288" t="str">
        <f>IF(Y15&gt;AB15,Y15-AB15,"")</f>
        <v/>
      </c>
      <c r="AF15" s="248" t="str">
        <f>IF(Y15&lt;AB15,-(Y15-AB15),"")</f>
        <v/>
      </c>
    </row>
    <row r="16" spans="1:32" ht="17.45" customHeight="1" x14ac:dyDescent="0.25">
      <c r="A16" s="15"/>
      <c r="B16" s="20" t="s">
        <v>177</v>
      </c>
      <c r="C16" s="138"/>
      <c r="D16" s="138"/>
      <c r="E16" s="138"/>
      <c r="F16" s="138"/>
      <c r="G16" s="138"/>
      <c r="H16" s="138"/>
      <c r="I16" s="138"/>
      <c r="J16" s="229">
        <f>IF(SUM($K$17:$K$18)&gt;SUM($J$14:$J$15),SUM($K$17:$K$18)-SUM($J$14:$J$15),0)</f>
        <v>0</v>
      </c>
      <c r="K16" s="37"/>
      <c r="L16" s="37"/>
      <c r="M16" s="181"/>
      <c r="N16" s="37"/>
      <c r="O16" s="37"/>
      <c r="P16" s="206"/>
      <c r="Q16" s="206"/>
      <c r="R16" s="37"/>
      <c r="S16" s="205">
        <f>P16-M16</f>
        <v>0</v>
      </c>
      <c r="T16" s="231" t="s">
        <v>1718</v>
      </c>
      <c r="V16" s="249"/>
      <c r="W16" s="398" t="str">
        <f>LEFT(B16,13)</f>
        <v>Dr: Acct 0952</v>
      </c>
      <c r="X16" s="398"/>
      <c r="Y16" s="250">
        <f>IF(SUM($Z$17:$Z$18)&gt;SUM($Y$14:$Y$15),SUM($Z$17:$Z$18)-SUM($Y$14:$Y$15),0)</f>
        <v>0</v>
      </c>
      <c r="Z16" s="247"/>
      <c r="AA16" s="266"/>
      <c r="AB16"/>
      <c r="AC16" s="266"/>
      <c r="AD16" s="266"/>
      <c r="AE16" s="288" t="str">
        <f>IF(Y16&gt;AB16,Y16-AB16,"")</f>
        <v/>
      </c>
      <c r="AF16" s="248" t="str">
        <f>IF(Y16&lt;AB16,-(Y16-AB16),"")</f>
        <v/>
      </c>
    </row>
    <row r="17" spans="1:32" ht="17.45" customHeight="1" x14ac:dyDescent="0.2">
      <c r="A17" s="15"/>
      <c r="B17" s="138"/>
      <c r="C17" s="20" t="s">
        <v>211</v>
      </c>
      <c r="D17" s="138"/>
      <c r="E17" s="138"/>
      <c r="F17" s="138"/>
      <c r="G17" s="138"/>
      <c r="H17" s="138"/>
      <c r="I17" s="138"/>
      <c r="J17" s="20"/>
      <c r="K17" s="229">
        <f>N17</f>
        <v>0</v>
      </c>
      <c r="L17" s="37"/>
      <c r="M17" s="37"/>
      <c r="N17" s="181"/>
      <c r="O17" s="37"/>
      <c r="P17" s="206"/>
      <c r="Q17" s="181"/>
      <c r="R17" s="37"/>
      <c r="S17" s="205">
        <f>Q17-N17</f>
        <v>0</v>
      </c>
      <c r="T17" s="231" t="s">
        <v>1718</v>
      </c>
      <c r="V17" s="249"/>
      <c r="W17" s="290"/>
      <c r="X17" s="265" t="str">
        <f>LEFT(C17,13)</f>
        <v>Cr: Acct 0698</v>
      </c>
      <c r="Z17" s="263">
        <f>ROUND($K$17,-3)</f>
        <v>0</v>
      </c>
      <c r="AA17" s="289"/>
      <c r="AC17" s="299">
        <f>ROUND($Q$17,-3)</f>
        <v>0</v>
      </c>
      <c r="AD17" s="266"/>
      <c r="AE17" s="288" t="str">
        <f>IF(Z17&lt;AC17,-(Z17-AC17),"")</f>
        <v/>
      </c>
      <c r="AF17" s="248" t="str">
        <f>IF(Z17&gt;AC17,(Z17-AC17),"")</f>
        <v/>
      </c>
    </row>
    <row r="18" spans="1:32" ht="17.45" customHeight="1" x14ac:dyDescent="0.2">
      <c r="A18" s="15"/>
      <c r="B18" s="138"/>
      <c r="C18" s="20" t="s">
        <v>183</v>
      </c>
      <c r="D18" s="138"/>
      <c r="E18" s="138"/>
      <c r="F18" s="138"/>
      <c r="G18" s="138"/>
      <c r="H18" s="138"/>
      <c r="I18" s="138"/>
      <c r="J18" s="20"/>
      <c r="K18" s="229">
        <f>Q18</f>
        <v>0</v>
      </c>
      <c r="L18" s="37"/>
      <c r="M18" s="37"/>
      <c r="N18" s="181"/>
      <c r="O18" s="37"/>
      <c r="P18" s="206"/>
      <c r="Q18" s="203">
        <f>IF(SUM($Q$17)&lt;SUM($P$14),-SUM($Q$17)+SUM($P$14),0)</f>
        <v>0</v>
      </c>
      <c r="R18" s="37"/>
      <c r="S18" s="205">
        <f>Q18-N18</f>
        <v>0</v>
      </c>
      <c r="T18" s="231" t="s">
        <v>1718</v>
      </c>
      <c r="V18" s="249"/>
      <c r="W18" s="290"/>
      <c r="X18" s="265" t="str">
        <f>LEFT(C18,13)</f>
        <v>Cr: Acct 0950</v>
      </c>
      <c r="Z18" s="250">
        <f>ROUND($AC$18,-3)</f>
        <v>0</v>
      </c>
      <c r="AA18" s="266"/>
      <c r="AB18" s="266"/>
      <c r="AC18" s="250">
        <f>IF(SUM($AC$17)&lt;SUM($AB$14),-SUM($AC$17)+SUM($AB$14),0)</f>
        <v>0</v>
      </c>
      <c r="AD18" s="266"/>
      <c r="AE18" s="288" t="str">
        <f>IF(Z18&lt;AC18,-(Z18-AC18),"")</f>
        <v/>
      </c>
      <c r="AF18" s="248" t="str">
        <f>IF(Z18&gt;AC18,(Z18-AC18),"")</f>
        <v/>
      </c>
    </row>
    <row r="19" spans="1:32" ht="17.45" customHeight="1" x14ac:dyDescent="0.25">
      <c r="A19" s="15"/>
      <c r="B19" s="138"/>
      <c r="C19" s="20" t="s">
        <v>184</v>
      </c>
      <c r="D19" s="138"/>
      <c r="E19" s="138"/>
      <c r="F19" s="138"/>
      <c r="G19" s="138"/>
      <c r="H19" s="138"/>
      <c r="I19" s="138"/>
      <c r="J19" s="20"/>
      <c r="K19" s="229">
        <f>IF(SUM($K$17:$K$18)&lt;SUM($J$14:$J$15),-SUM($K$17:$K$18)+SUM($J$14:$J$15),0)</f>
        <v>0</v>
      </c>
      <c r="L19" s="37"/>
      <c r="M19" s="37"/>
      <c r="N19" s="181"/>
      <c r="O19" s="37"/>
      <c r="P19" s="206"/>
      <c r="Q19" s="206"/>
      <c r="R19" s="37"/>
      <c r="S19" s="205">
        <f>Q19-N19</f>
        <v>0</v>
      </c>
      <c r="T19" s="231" t="s">
        <v>1718</v>
      </c>
      <c r="V19" s="249"/>
      <c r="W19" s="290"/>
      <c r="X19" s="265" t="str">
        <f>LEFT(C19,13)</f>
        <v>Cr: Acct 0952</v>
      </c>
      <c r="Y19" s="266"/>
      <c r="Z19" s="250">
        <f>IF(SUM($Z$17:$Z$18)&lt;SUM($Y$14:$Y$15),-SUM($Z$17:$Z$18)+SUM($Y$14:$Y$15),0)</f>
        <v>0</v>
      </c>
      <c r="AA19" s="266"/>
      <c r="AB19" s="266"/>
      <c r="AC19"/>
      <c r="AD19" s="266"/>
      <c r="AE19" s="266" t="str">
        <f>IF(Z19&lt;AC19,-(Z19-AC19),"")</f>
        <v/>
      </c>
      <c r="AF19" s="248" t="str">
        <f>IF(Z19&gt;AC19,(Z19-AC19),"")</f>
        <v/>
      </c>
    </row>
    <row r="20" spans="1:32" ht="17.45" customHeight="1" x14ac:dyDescent="0.2">
      <c r="A20" s="15"/>
      <c r="C20" s="14"/>
      <c r="D20" s="140"/>
      <c r="E20" s="140"/>
      <c r="F20" s="140"/>
      <c r="G20" s="140"/>
      <c r="H20" s="140"/>
      <c r="I20" s="140"/>
      <c r="J20" s="142">
        <f>SUM(J14:J19)</f>
        <v>0</v>
      </c>
      <c r="K20" s="142">
        <f>SUM(K14:K19)</f>
        <v>0</v>
      </c>
      <c r="L20" s="52" t="str">
        <f>IF(J20=K20,"&lt;- Debits and Credits equal each other.","&lt;- Debits and Credits do not equal each other.")</f>
        <v>&lt;- Debits and Credits equal each other.</v>
      </c>
      <c r="M20" s="9"/>
      <c r="N20" s="10"/>
      <c r="O20" s="10"/>
      <c r="P20" s="7"/>
      <c r="Q20" s="7"/>
      <c r="V20" s="249"/>
      <c r="W20" s="290"/>
      <c r="X20" s="265" t="str">
        <f>LEFT(C20,13)</f>
        <v/>
      </c>
      <c r="Y20" s="317">
        <f>ROUND(SUM(Y14:Y16),0)</f>
        <v>0</v>
      </c>
      <c r="Z20" s="317">
        <f>ROUND(SUM(Z17:Z19),0)</f>
        <v>0</v>
      </c>
      <c r="AA20" s="394" t="str">
        <f>IF(Y20=Z20,"&lt;- Debits and Credits equal each other.","&lt;- Debits and Credits do not equal each other.")</f>
        <v>&lt;- Debits and Credits equal each other.</v>
      </c>
      <c r="AB20" s="394"/>
      <c r="AC20" s="394"/>
      <c r="AD20" s="266"/>
      <c r="AE20" s="317">
        <f>ROUND(SUM(AE14:AE19),0)</f>
        <v>0</v>
      </c>
      <c r="AF20" s="318">
        <f>ROUND(SUM(AF14:AF19),0)</f>
        <v>0</v>
      </c>
    </row>
    <row r="21" spans="1:32" ht="17.45" customHeight="1" x14ac:dyDescent="0.25">
      <c r="A21" s="6"/>
      <c r="B21" s="6"/>
      <c r="C21" s="6"/>
      <c r="D21" s="6"/>
      <c r="E21" s="13"/>
      <c r="G21" s="7"/>
      <c r="H21" s="7"/>
      <c r="I21" s="7"/>
      <c r="J21" s="6"/>
      <c r="K21" s="9"/>
      <c r="L21" s="9"/>
      <c r="M21" s="9"/>
      <c r="N21" s="10"/>
      <c r="O21" s="10"/>
      <c r="P21" s="7"/>
      <c r="Q21" s="7"/>
      <c r="V21" s="249"/>
      <c r="W21" s="290"/>
      <c r="X21" s="265" t="str">
        <f>LEFT(C21,13)</f>
        <v/>
      </c>
      <c r="Y21" s="37"/>
      <c r="AA21" s="37"/>
      <c r="AB21" s="37"/>
      <c r="AD21" s="37"/>
      <c r="AE21" s="288"/>
      <c r="AF21" s="248">
        <f>AE20-AF20</f>
        <v>0</v>
      </c>
    </row>
    <row r="22" spans="1:32" s="163" customFormat="1" ht="21" customHeight="1" x14ac:dyDescent="0.3">
      <c r="A22" s="157" t="s">
        <v>173</v>
      </c>
      <c r="B22" s="158"/>
      <c r="C22" s="159"/>
      <c r="D22" s="159"/>
      <c r="E22" s="159"/>
      <c r="F22" s="160"/>
      <c r="G22" s="160"/>
      <c r="H22" s="161"/>
      <c r="I22" s="161"/>
      <c r="J22" s="160"/>
      <c r="K22" s="160"/>
      <c r="L22" s="39"/>
      <c r="M22" s="39"/>
      <c r="N22" s="162"/>
      <c r="O22" s="162"/>
      <c r="P22" s="162"/>
      <c r="V22" s="395" t="str">
        <f>A22</f>
        <v>Record New Leases (new leases only)</v>
      </c>
      <c r="W22" s="396"/>
      <c r="X22" s="396"/>
      <c r="Y22" s="396"/>
      <c r="Z22" s="396"/>
      <c r="AA22" s="396"/>
      <c r="AB22" s="396"/>
      <c r="AC22" s="396"/>
      <c r="AD22" s="396"/>
      <c r="AE22" s="396"/>
      <c r="AF22" s="397"/>
    </row>
    <row r="23" spans="1:32" s="174" customFormat="1" ht="17.45" customHeight="1" x14ac:dyDescent="0.3">
      <c r="A23" s="169">
        <v>1</v>
      </c>
      <c r="B23" s="199" t="s">
        <v>1656</v>
      </c>
      <c r="C23" s="192"/>
      <c r="D23" s="192"/>
      <c r="E23" s="192"/>
      <c r="F23" s="193"/>
      <c r="G23" s="191"/>
      <c r="H23" s="191"/>
      <c r="I23" s="194"/>
      <c r="J23" s="191"/>
      <c r="K23" s="191"/>
      <c r="L23" s="191"/>
      <c r="M23" s="191"/>
      <c r="R23" s="190"/>
      <c r="S23" s="190"/>
      <c r="T23" s="191"/>
      <c r="U23" s="191"/>
      <c r="V23" s="245">
        <f>A23</f>
        <v>1</v>
      </c>
      <c r="W23" s="273" t="str">
        <f>B23</f>
        <v>Record receivable and related deferred inflow at inception of lease.</v>
      </c>
      <c r="X23" s="274"/>
      <c r="Y23" s="274"/>
      <c r="Z23" s="274"/>
      <c r="AA23" s="274"/>
      <c r="AB23" s="274"/>
      <c r="AC23" s="274"/>
      <c r="AD23" s="274"/>
      <c r="AE23" s="274"/>
      <c r="AF23" s="275"/>
    </row>
    <row r="24" spans="1:32" ht="17.45" customHeight="1" x14ac:dyDescent="0.2">
      <c r="B24" s="20" t="s">
        <v>210</v>
      </c>
      <c r="C24" s="20"/>
      <c r="D24" s="20"/>
      <c r="E24" s="20"/>
      <c r="F24" s="197"/>
      <c r="G24" s="197"/>
      <c r="H24" s="198"/>
      <c r="I24" s="187"/>
      <c r="J24" s="181"/>
      <c r="K24" s="197"/>
      <c r="L24" s="9"/>
      <c r="N24" s="18"/>
      <c r="O24" s="14"/>
      <c r="P24" s="9"/>
      <c r="Q24" s="9"/>
      <c r="R24" s="10"/>
      <c r="S24" s="10"/>
      <c r="V24" s="249"/>
      <c r="W24" s="398" t="str">
        <f>LEFT(B24,13)</f>
        <v>Dr: Acct 0417</v>
      </c>
      <c r="X24" s="398"/>
      <c r="Y24" s="263">
        <f>ROUND($J$24,-3)</f>
        <v>0</v>
      </c>
      <c r="Z24" s="247"/>
      <c r="AA24" s="411" t="s">
        <v>231</v>
      </c>
      <c r="AB24" s="411"/>
      <c r="AC24" s="411"/>
      <c r="AD24" s="266"/>
      <c r="AE24" s="266"/>
      <c r="AF24" s="254"/>
    </row>
    <row r="25" spans="1:32" ht="17.45" customHeight="1" x14ac:dyDescent="0.2">
      <c r="B25" s="20"/>
      <c r="C25" s="20" t="s">
        <v>211</v>
      </c>
      <c r="D25" s="20"/>
      <c r="E25" s="20"/>
      <c r="F25" s="197"/>
      <c r="G25" s="197"/>
      <c r="H25" s="198"/>
      <c r="I25" s="187"/>
      <c r="J25" s="197"/>
      <c r="K25" s="181"/>
      <c r="M25" s="19"/>
      <c r="N25" s="4"/>
      <c r="O25" s="9"/>
      <c r="P25" s="9"/>
      <c r="Q25" s="9"/>
      <c r="R25" s="10"/>
      <c r="S25" s="10"/>
      <c r="V25" s="249"/>
      <c r="W25" s="265"/>
      <c r="X25" s="265" t="str">
        <f>LEFT(C25,13)</f>
        <v>Cr: Acct 0698</v>
      </c>
      <c r="Y25" s="266"/>
      <c r="Z25" s="263">
        <f>ROUND($K$25,-3)</f>
        <v>0</v>
      </c>
      <c r="AA25" s="411" t="s">
        <v>231</v>
      </c>
      <c r="AB25" s="411"/>
      <c r="AC25" s="411"/>
      <c r="AD25" s="266"/>
      <c r="AE25" s="266"/>
      <c r="AF25" s="254"/>
    </row>
    <row r="26" spans="1:32" ht="17.45" customHeight="1" x14ac:dyDescent="0.2">
      <c r="A26" s="15"/>
      <c r="C26" s="20"/>
      <c r="D26" s="9"/>
      <c r="E26" s="9"/>
      <c r="F26" s="10"/>
      <c r="G26" s="10"/>
      <c r="H26" s="16"/>
      <c r="J26" s="142">
        <f>J24</f>
        <v>0</v>
      </c>
      <c r="K26" s="143">
        <f>K25</f>
        <v>0</v>
      </c>
      <c r="L26" s="52" t="str">
        <f>IF(J26=K26,"&lt;- Debits and Credits equal each other.","&lt;- Debits and Credits do not equal each other.")</f>
        <v>&lt;- Debits and Credits equal each other.</v>
      </c>
      <c r="M26" s="19"/>
      <c r="V26" s="249"/>
      <c r="W26" s="265"/>
      <c r="X26" s="265" t="str">
        <f>LEFT(C26,13)</f>
        <v/>
      </c>
      <c r="Y26" s="317">
        <f>ROUND(SUM(Y24),2)</f>
        <v>0</v>
      </c>
      <c r="Z26" s="317">
        <f>ROUND(SUM(Z25),2)</f>
        <v>0</v>
      </c>
      <c r="AA26" s="394" t="str">
        <f>IF(Y26=Z26,"&lt;- Debits and Credits equal each other.","&lt;- Debits and Credits do not equal each other.")</f>
        <v>&lt;- Debits and Credits equal each other.</v>
      </c>
      <c r="AB26" s="394"/>
      <c r="AC26" s="394"/>
      <c r="AD26" s="394"/>
      <c r="AE26" s="394"/>
      <c r="AF26" s="254"/>
    </row>
    <row r="27" spans="1:32" ht="17.45" customHeight="1" x14ac:dyDescent="0.2">
      <c r="A27" s="15"/>
      <c r="V27" s="259"/>
      <c r="W27" s="290"/>
      <c r="X27" s="265" t="str">
        <f>LEFT(C23,13)</f>
        <v/>
      </c>
      <c r="AD27" s="276"/>
      <c r="AE27" s="276"/>
      <c r="AF27" s="262"/>
    </row>
    <row r="28" spans="1:32" s="163" customFormat="1" ht="21" customHeight="1" x14ac:dyDescent="0.3">
      <c r="A28" s="157" t="s">
        <v>174</v>
      </c>
      <c r="B28" s="158"/>
      <c r="C28" s="159"/>
      <c r="D28" s="159"/>
      <c r="E28" s="159"/>
      <c r="F28" s="160"/>
      <c r="G28" s="160"/>
      <c r="H28" s="161"/>
      <c r="I28" s="161"/>
      <c r="J28" s="160"/>
      <c r="K28" s="160"/>
      <c r="L28" s="39"/>
      <c r="M28" s="39"/>
      <c r="N28" s="162"/>
      <c r="O28" s="162"/>
      <c r="P28" s="162"/>
      <c r="V28" s="395" t="str">
        <f>A28</f>
        <v>Record Annual Activity (all leases)</v>
      </c>
      <c r="W28" s="396"/>
      <c r="X28" s="396"/>
      <c r="Y28" s="396"/>
      <c r="Z28" s="396"/>
      <c r="AA28" s="396"/>
      <c r="AB28" s="396"/>
      <c r="AC28" s="396"/>
      <c r="AD28" s="396"/>
      <c r="AE28" s="396"/>
      <c r="AF28" s="397"/>
    </row>
    <row r="29" spans="1:32" s="174" customFormat="1" ht="17.45" customHeight="1" x14ac:dyDescent="0.3">
      <c r="A29" s="169">
        <v>2</v>
      </c>
      <c r="B29" s="199" t="s">
        <v>1657</v>
      </c>
      <c r="O29" s="162"/>
      <c r="P29" s="162"/>
      <c r="Q29" s="163"/>
      <c r="R29" s="163"/>
      <c r="S29" s="163"/>
      <c r="T29" s="163"/>
      <c r="U29" s="163"/>
      <c r="V29" s="245">
        <f>A29</f>
        <v>2</v>
      </c>
      <c r="W29" s="273" t="str">
        <f>B29</f>
        <v>Record receipt of lease payments as reduction of lease receivable and recognize interest revenue.</v>
      </c>
      <c r="X29" s="274"/>
      <c r="Y29" s="274"/>
      <c r="Z29" s="274"/>
      <c r="AA29" s="274"/>
      <c r="AB29" s="274"/>
      <c r="AC29" s="274"/>
      <c r="AD29" s="274"/>
      <c r="AE29" s="274"/>
      <c r="AF29" s="275"/>
    </row>
    <row r="30" spans="1:32" ht="17.45" customHeight="1" x14ac:dyDescent="0.2">
      <c r="B30" s="432" t="str">
        <f>IF($E$7="Governmental","Dr: Acct 0775 - OTHER INCOME","Dr: Acct 0755 - SALES &amp; SERVICES")</f>
        <v>Dr: Acct 0755 - SALES &amp; SERVICES</v>
      </c>
      <c r="C30" s="432"/>
      <c r="D30" s="432"/>
      <c r="E30" s="432"/>
      <c r="F30" s="432"/>
      <c r="G30" s="432"/>
      <c r="H30" s="432"/>
      <c r="I30" s="432"/>
      <c r="J30" s="181"/>
      <c r="K30" s="32"/>
      <c r="L30" s="9"/>
      <c r="N30" s="22"/>
      <c r="O30" s="9"/>
      <c r="P30" s="14"/>
      <c r="Q30" s="9"/>
      <c r="R30" s="9"/>
      <c r="S30" s="9"/>
      <c r="T30" s="9"/>
      <c r="U30" s="9"/>
      <c r="V30" s="249"/>
      <c r="W30" s="398" t="str">
        <f>LEFT(B30,13)</f>
        <v>Dr: Acct 0755</v>
      </c>
      <c r="X30" s="398"/>
      <c r="Y30" s="263">
        <f>SUM($Z$31:$Z$32)</f>
        <v>0</v>
      </c>
      <c r="Z30" s="247"/>
      <c r="AA30" s="411" t="s">
        <v>231</v>
      </c>
      <c r="AB30" s="411"/>
      <c r="AC30" s="411"/>
      <c r="AD30" s="266"/>
      <c r="AE30" s="266"/>
      <c r="AF30" s="254"/>
    </row>
    <row r="31" spans="1:32" ht="17.45" customHeight="1" x14ac:dyDescent="0.2">
      <c r="A31" s="15"/>
      <c r="B31" s="196"/>
      <c r="C31" s="20" t="s">
        <v>212</v>
      </c>
      <c r="D31" s="20"/>
      <c r="E31" s="20"/>
      <c r="F31" s="20"/>
      <c r="G31" s="196"/>
      <c r="H31" s="196"/>
      <c r="I31" s="196"/>
      <c r="J31" s="32"/>
      <c r="K31" s="181"/>
      <c r="M31" s="19"/>
      <c r="N31" s="22"/>
      <c r="O31" s="9"/>
      <c r="P31" s="14"/>
      <c r="Q31" s="9"/>
      <c r="R31" s="9"/>
      <c r="S31" s="9"/>
      <c r="T31" s="9"/>
      <c r="U31" s="9"/>
      <c r="V31" s="310"/>
      <c r="X31" s="265" t="str">
        <f>LEFT(C31,13)</f>
        <v>Cr: Acct 0417</v>
      </c>
      <c r="Z31" s="263">
        <f>ROUND($K$31,-3)</f>
        <v>0</v>
      </c>
      <c r="AF31" s="311"/>
    </row>
    <row r="32" spans="1:32" ht="17.45" customHeight="1" x14ac:dyDescent="0.2">
      <c r="B32" s="20"/>
      <c r="C32" s="20" t="str">
        <f>IF($E$7="Governmental","Cr: Acct 0740 - INTEREST INCOME","Cr: Acct 0777 - INVESTMENT AND INTEREST INCOME")</f>
        <v>Cr: Acct 0777 - INVESTMENT AND INTEREST INCOME</v>
      </c>
      <c r="D32" s="20"/>
      <c r="E32" s="20"/>
      <c r="F32" s="20"/>
      <c r="G32" s="20"/>
      <c r="H32" s="20"/>
      <c r="I32" s="20"/>
      <c r="J32" s="32"/>
      <c r="K32" s="181"/>
      <c r="N32" s="22"/>
      <c r="O32" s="23"/>
      <c r="V32" s="312"/>
      <c r="X32" s="265" t="str">
        <f>LEFT(C32,13)</f>
        <v>Cr: Acct 0777</v>
      </c>
      <c r="Z32" s="263">
        <f>ROUND($K$32,-3)</f>
        <v>0</v>
      </c>
      <c r="AF32" s="311"/>
    </row>
    <row r="33" spans="1:32" ht="17.45" customHeight="1" x14ac:dyDescent="0.3">
      <c r="A33" s="15"/>
      <c r="C33" s="168"/>
      <c r="D33" s="168"/>
      <c r="E33" s="168"/>
      <c r="F33" s="168"/>
      <c r="G33" s="168"/>
      <c r="H33" s="168"/>
      <c r="I33" s="168"/>
      <c r="J33" s="143">
        <f>J30</f>
        <v>0</v>
      </c>
      <c r="K33" s="234">
        <f>SUM(K31:K32)</f>
        <v>0</v>
      </c>
      <c r="L33" s="52" t="str">
        <f>IF(J33=K33,"&lt;- Debits and Credits equal each other.","&lt;- Debits and Credits do not equal each other.")</f>
        <v>&lt;- Debits and Credits equal each other.</v>
      </c>
      <c r="M33" s="19"/>
      <c r="O33" s="9"/>
      <c r="P33" s="14"/>
      <c r="Q33" s="9"/>
      <c r="R33" s="9"/>
      <c r="S33" s="9"/>
      <c r="T33" s="9"/>
      <c r="U33" s="9"/>
      <c r="V33" s="310"/>
      <c r="Y33" s="317">
        <f>ROUND(SUM(Y30),2)</f>
        <v>0</v>
      </c>
      <c r="Z33" s="317">
        <f>ROUND(SUM(Z31:Z32),2)</f>
        <v>0</v>
      </c>
      <c r="AA33" s="394" t="str">
        <f>IF(Y33=Z33,"&lt;- Debits and Credits equal each other.","&lt;- Debits and Credits do not equal each other.")</f>
        <v>&lt;- Debits and Credits equal each other.</v>
      </c>
      <c r="AB33" s="394"/>
      <c r="AC33" s="394"/>
      <c r="AD33" s="394"/>
      <c r="AE33" s="394"/>
      <c r="AF33" s="311"/>
    </row>
    <row r="34" spans="1:32" ht="17.45" customHeight="1" x14ac:dyDescent="0.3">
      <c r="A34" s="15"/>
      <c r="C34" s="168"/>
      <c r="D34" s="168"/>
      <c r="E34" s="168"/>
      <c r="F34" s="168"/>
      <c r="G34" s="168"/>
      <c r="H34" s="168"/>
      <c r="I34" s="168"/>
      <c r="J34" s="24"/>
      <c r="K34" s="144"/>
      <c r="L34" s="21"/>
      <c r="M34" s="19"/>
      <c r="O34" s="9"/>
      <c r="P34" s="14"/>
      <c r="Q34" s="9"/>
      <c r="R34" s="9"/>
      <c r="S34" s="9"/>
      <c r="T34" s="9"/>
      <c r="U34" s="9"/>
      <c r="V34" s="310"/>
      <c r="AF34" s="311"/>
    </row>
    <row r="35" spans="1:32" ht="17.45" customHeight="1" x14ac:dyDescent="0.3">
      <c r="A35" s="169">
        <v>3</v>
      </c>
      <c r="B35" s="199" t="s">
        <v>1658</v>
      </c>
      <c r="C35" s="20"/>
      <c r="D35" s="9"/>
      <c r="E35" s="9"/>
      <c r="F35" s="9"/>
      <c r="G35" s="9"/>
      <c r="H35" s="9"/>
      <c r="I35" s="1"/>
      <c r="J35" s="9"/>
      <c r="K35" s="24"/>
      <c r="L35" s="9"/>
      <c r="O35" s="22"/>
      <c r="R35" s="9"/>
      <c r="S35" s="9"/>
      <c r="T35" s="9"/>
      <c r="U35" s="9"/>
      <c r="V35" s="245">
        <f>A35</f>
        <v>3</v>
      </c>
      <c r="W35" s="273" t="str">
        <f>B35</f>
        <v>Record straight-line recognition of revenue.</v>
      </c>
      <c r="X35" s="274"/>
      <c r="AF35" s="311"/>
    </row>
    <row r="36" spans="1:32" ht="17.45" customHeight="1" x14ac:dyDescent="0.2">
      <c r="B36" s="427" t="s">
        <v>213</v>
      </c>
      <c r="C36" s="427" t="s">
        <v>211</v>
      </c>
      <c r="D36" s="427" t="s">
        <v>211</v>
      </c>
      <c r="E36" s="427" t="s">
        <v>211</v>
      </c>
      <c r="F36" s="20"/>
      <c r="G36" s="20"/>
      <c r="H36" s="20"/>
      <c r="I36" s="20"/>
      <c r="J36" s="181"/>
      <c r="K36" s="32"/>
      <c r="M36" s="19"/>
      <c r="R36" s="9"/>
      <c r="S36" s="9"/>
      <c r="T36" s="9"/>
      <c r="U36" s="9"/>
      <c r="V36" s="310"/>
      <c r="W36" s="398" t="str">
        <f>LEFT(B36,13)</f>
        <v>Dr: Acct 0698</v>
      </c>
      <c r="X36" s="398"/>
      <c r="Y36" s="263">
        <f>ROUND($J$36,-3)</f>
        <v>0</v>
      </c>
      <c r="Z36" s="247"/>
      <c r="AA36" s="411" t="s">
        <v>231</v>
      </c>
      <c r="AB36" s="411"/>
      <c r="AC36" s="411"/>
      <c r="AF36" s="311"/>
    </row>
    <row r="37" spans="1:32" ht="17.45" customHeight="1" x14ac:dyDescent="0.2">
      <c r="A37" s="15"/>
      <c r="B37" s="20"/>
      <c r="C37" s="20" t="str">
        <f>IF($E$7="Governmental","Cr: Acct 0775 - OTHER INCOME","Cr: Acct 0778 - RENT")</f>
        <v>Cr: Acct 0778 - RENT</v>
      </c>
      <c r="D37" s="20"/>
      <c r="E37" s="20"/>
      <c r="F37" s="20"/>
      <c r="G37" s="20"/>
      <c r="H37" s="20"/>
      <c r="I37" s="20"/>
      <c r="J37" s="32"/>
      <c r="K37" s="181"/>
      <c r="R37" s="9"/>
      <c r="S37" s="9"/>
      <c r="T37" s="9"/>
      <c r="U37" s="9"/>
      <c r="V37" s="310"/>
      <c r="W37" s="265"/>
      <c r="X37" s="265" t="str">
        <f>LEFT(C37,13)</f>
        <v>Cr: Acct 0778</v>
      </c>
      <c r="Y37" s="266"/>
      <c r="Z37" s="263">
        <f>ROUND($K$37,-3)</f>
        <v>0</v>
      </c>
      <c r="AA37" s="411" t="s">
        <v>231</v>
      </c>
      <c r="AB37" s="411"/>
      <c r="AC37" s="411"/>
      <c r="AF37" s="311"/>
    </row>
    <row r="38" spans="1:32" ht="17.45" customHeight="1" x14ac:dyDescent="0.2">
      <c r="A38" s="15"/>
      <c r="C38" s="14"/>
      <c r="D38" s="9"/>
      <c r="E38" s="9"/>
      <c r="F38" s="9"/>
      <c r="G38" s="9"/>
      <c r="H38" s="9"/>
      <c r="I38" s="1"/>
      <c r="J38" s="234">
        <f>J36</f>
        <v>0</v>
      </c>
      <c r="K38" s="143">
        <f>K37</f>
        <v>0</v>
      </c>
      <c r="L38" s="52" t="str">
        <f>IF(J38=K38,"&lt;- Debits and Credits equal each other.","&lt;- Debits and Credits do not equal each other.")</f>
        <v>&lt;- Debits and Credits equal each other.</v>
      </c>
      <c r="R38" s="9"/>
      <c r="S38" s="9"/>
      <c r="T38" s="9"/>
      <c r="U38" s="9"/>
      <c r="V38" s="310"/>
      <c r="W38" s="265"/>
      <c r="X38" s="265" t="str">
        <f>LEFT(C38,13)</f>
        <v/>
      </c>
      <c r="Y38" s="317">
        <f>ROUND(SUM(Y36),2)</f>
        <v>0</v>
      </c>
      <c r="Z38" s="317">
        <f>ROUND(SUM(Z37),2)</f>
        <v>0</v>
      </c>
      <c r="AA38" s="394" t="str">
        <f>IF(Y38=Z38,"&lt;- Debits and Credits equal each other.","&lt;- Debits and Credits do not equal each other.")</f>
        <v>&lt;- Debits and Credits equal each other.</v>
      </c>
      <c r="AB38" s="394"/>
      <c r="AC38" s="394"/>
      <c r="AD38" s="394"/>
      <c r="AE38" s="394"/>
      <c r="AF38" s="311"/>
    </row>
    <row r="39" spans="1:32" ht="17.45" customHeight="1" x14ac:dyDescent="0.2">
      <c r="A39" s="15"/>
      <c r="C39" s="14"/>
      <c r="D39" s="9"/>
      <c r="E39" s="9"/>
      <c r="F39" s="9"/>
      <c r="G39" s="9"/>
      <c r="H39" s="9"/>
      <c r="I39" s="1"/>
      <c r="J39" s="144"/>
      <c r="K39" s="24"/>
      <c r="L39" s="21"/>
      <c r="R39" s="9"/>
      <c r="S39" s="9"/>
      <c r="T39" s="9"/>
      <c r="U39" s="9"/>
      <c r="V39" s="310"/>
      <c r="AF39" s="311"/>
    </row>
    <row r="40" spans="1:32" s="174" customFormat="1" ht="17.45" customHeight="1" x14ac:dyDescent="0.3">
      <c r="A40" s="169">
        <v>4</v>
      </c>
      <c r="B40" s="199" t="s">
        <v>129</v>
      </c>
      <c r="K40" s="195"/>
      <c r="V40" s="245">
        <f>A40</f>
        <v>4</v>
      </c>
      <c r="W40" s="273" t="str">
        <f>B40</f>
        <v>Reclassify the current portion of the lease receivable from non-current to current.</v>
      </c>
      <c r="X40" s="274"/>
      <c r="Y40" s="1"/>
      <c r="Z40" s="1"/>
      <c r="AA40" s="1"/>
      <c r="AB40" s="1"/>
      <c r="AC40" s="1"/>
      <c r="AF40" s="313"/>
    </row>
    <row r="41" spans="1:32" ht="17.45" customHeight="1" x14ac:dyDescent="0.2">
      <c r="B41" s="427" t="s">
        <v>214</v>
      </c>
      <c r="C41" s="427"/>
      <c r="D41" s="427"/>
      <c r="E41" s="427"/>
      <c r="F41" s="20"/>
      <c r="G41" s="20"/>
      <c r="H41" s="20"/>
      <c r="I41" s="20"/>
      <c r="J41" s="181"/>
      <c r="K41" s="32"/>
      <c r="L41" s="9"/>
      <c r="R41" s="9"/>
      <c r="S41" s="9"/>
      <c r="T41" s="9"/>
      <c r="U41" s="9"/>
      <c r="V41" s="310"/>
      <c r="W41" s="398" t="str">
        <f>LEFT(B41,13)</f>
        <v>Dr: Acct 0036</v>
      </c>
      <c r="X41" s="398"/>
      <c r="Y41" s="263">
        <f>ROUND($J$41,-3)</f>
        <v>0</v>
      </c>
      <c r="Z41" s="247"/>
      <c r="AA41" s="411" t="s">
        <v>231</v>
      </c>
      <c r="AB41" s="411"/>
      <c r="AC41" s="411"/>
      <c r="AF41" s="311"/>
    </row>
    <row r="42" spans="1:32" ht="17.45" customHeight="1" x14ac:dyDescent="0.2">
      <c r="A42" s="15"/>
      <c r="B42" s="20"/>
      <c r="C42" s="427" t="s">
        <v>212</v>
      </c>
      <c r="D42" s="427" t="s">
        <v>215</v>
      </c>
      <c r="E42" s="427" t="s">
        <v>215</v>
      </c>
      <c r="F42" s="20"/>
      <c r="G42" s="20"/>
      <c r="H42" s="20"/>
      <c r="I42" s="20"/>
      <c r="J42" s="32"/>
      <c r="K42" s="181"/>
      <c r="O42" s="9"/>
      <c r="P42" s="9"/>
      <c r="Q42" s="9"/>
      <c r="R42" s="9"/>
      <c r="S42" s="9"/>
      <c r="T42" s="9"/>
      <c r="U42" s="9"/>
      <c r="V42" s="310"/>
      <c r="W42" s="265"/>
      <c r="X42" s="265" t="str">
        <f>LEFT(C42,13)</f>
        <v>Cr: Acct 0417</v>
      </c>
      <c r="Y42" s="266"/>
      <c r="Z42" s="263">
        <f>ROUND($K$42,-3)</f>
        <v>0</v>
      </c>
      <c r="AA42" s="411" t="s">
        <v>231</v>
      </c>
      <c r="AB42" s="411"/>
      <c r="AC42" s="411"/>
      <c r="AF42" s="311"/>
    </row>
    <row r="43" spans="1:32" ht="17.45" customHeight="1" x14ac:dyDescent="0.2">
      <c r="A43" s="15"/>
      <c r="B43" s="440" t="s">
        <v>1724</v>
      </c>
      <c r="C43" s="440"/>
      <c r="D43" s="440"/>
      <c r="E43" s="440"/>
      <c r="F43" s="440"/>
      <c r="G43" s="440"/>
      <c r="H43" s="440"/>
      <c r="I43" s="440"/>
      <c r="J43" s="234">
        <f>J41</f>
        <v>0</v>
      </c>
      <c r="K43" s="143">
        <f>K42</f>
        <v>0</v>
      </c>
      <c r="L43" s="52" t="str">
        <f>IF(J43=K43,"&lt;- Debits and Credits equal each other.","&lt;- Debits and Credits do not equal each other.")</f>
        <v>&lt;- Debits and Credits equal each other.</v>
      </c>
      <c r="M43" s="19"/>
      <c r="V43" s="310"/>
      <c r="W43" s="265"/>
      <c r="X43" s="265" t="str">
        <f>LEFT(C43,13)</f>
        <v/>
      </c>
      <c r="Y43" s="317">
        <f>ROUND(SUM(Y41),2)</f>
        <v>0</v>
      </c>
      <c r="Z43" s="317">
        <f>ROUND(SUM(Z42),2)</f>
        <v>0</v>
      </c>
      <c r="AA43" s="394" t="str">
        <f>IF(Y43=Z43,"&lt;- Debits and Credits equal each other.","&lt;- Debits and Credits do not equal each other.")</f>
        <v>&lt;- Debits and Credits equal each other.</v>
      </c>
      <c r="AB43" s="394"/>
      <c r="AC43" s="394"/>
      <c r="AD43" s="394"/>
      <c r="AE43" s="394"/>
      <c r="AF43" s="311"/>
    </row>
    <row r="44" spans="1:32" ht="17.45" customHeight="1" x14ac:dyDescent="0.25">
      <c r="A44" s="15"/>
      <c r="B44" s="440"/>
      <c r="C44" s="440"/>
      <c r="D44" s="440"/>
      <c r="E44" s="440"/>
      <c r="F44" s="440"/>
      <c r="G44" s="440"/>
      <c r="H44" s="440"/>
      <c r="I44" s="440"/>
      <c r="K44" s="27"/>
      <c r="L44" s="9"/>
      <c r="M44" s="19"/>
      <c r="O44" s="28"/>
      <c r="V44" s="312"/>
      <c r="AF44" s="311"/>
    </row>
    <row r="45" spans="1:32" ht="20.25" customHeight="1" x14ac:dyDescent="0.25">
      <c r="A45" s="15"/>
      <c r="B45" s="440"/>
      <c r="C45" s="440"/>
      <c r="D45" s="440"/>
      <c r="E45" s="440"/>
      <c r="F45" s="440"/>
      <c r="G45" s="440"/>
      <c r="H45" s="440"/>
      <c r="I45" s="440"/>
      <c r="K45" s="27"/>
      <c r="M45" s="19"/>
      <c r="O45" s="28"/>
      <c r="V45" s="312"/>
      <c r="AF45" s="311"/>
    </row>
    <row r="46" spans="1:32" ht="17.45" customHeight="1" x14ac:dyDescent="0.25">
      <c r="A46" s="15"/>
      <c r="B46" s="11"/>
      <c r="C46" s="9"/>
      <c r="K46" s="27"/>
      <c r="M46" s="19"/>
      <c r="O46" s="28"/>
      <c r="V46" s="312"/>
      <c r="AF46" s="311"/>
    </row>
    <row r="47" spans="1:32" s="163" customFormat="1" ht="21" customHeight="1" x14ac:dyDescent="0.3">
      <c r="A47" s="157" t="s">
        <v>1647</v>
      </c>
      <c r="B47" s="158"/>
      <c r="C47" s="159"/>
      <c r="D47" s="159"/>
      <c r="E47" s="159"/>
      <c r="F47" s="160"/>
      <c r="G47" s="160"/>
      <c r="H47" s="161"/>
      <c r="I47" s="161"/>
      <c r="J47" s="160"/>
      <c r="K47" s="160"/>
      <c r="L47" s="39"/>
      <c r="M47" s="39"/>
      <c r="N47" s="162"/>
      <c r="O47" s="162"/>
      <c r="P47" s="162"/>
      <c r="V47" s="395" t="str">
        <f>A47</f>
        <v>Lease Remeasurement and Modifications (only if a significant modification occurred during the fiscal year)</v>
      </c>
      <c r="W47" s="396"/>
      <c r="X47" s="396"/>
      <c r="Y47" s="396"/>
      <c r="Z47" s="396"/>
      <c r="AA47" s="396"/>
      <c r="AB47" s="396"/>
      <c r="AC47" s="396"/>
      <c r="AD47" s="396"/>
      <c r="AE47" s="396"/>
      <c r="AF47" s="397"/>
    </row>
    <row r="48" spans="1:32" ht="17.45" customHeight="1" x14ac:dyDescent="0.3">
      <c r="A48" s="169">
        <v>5</v>
      </c>
      <c r="B48" s="199" t="s">
        <v>1740</v>
      </c>
      <c r="F48" s="9"/>
      <c r="G48" s="9"/>
      <c r="H48" s="9"/>
      <c r="I48" s="1"/>
      <c r="J48" s="29"/>
      <c r="K48" s="30"/>
      <c r="M48" s="19"/>
      <c r="V48" s="245">
        <f>A48</f>
        <v>5</v>
      </c>
      <c r="W48" s="273" t="str">
        <f>B48</f>
        <v xml:space="preserve">Record early termination or lease modifications to decrease the lease receivable and other deferred inflows of resources.	 </v>
      </c>
      <c r="X48" s="274"/>
      <c r="Y48" s="274"/>
      <c r="AF48" s="311"/>
    </row>
    <row r="49" spans="1:32" ht="17.45" customHeight="1" x14ac:dyDescent="0.25">
      <c r="B49" s="20" t="s">
        <v>213</v>
      </c>
      <c r="C49" s="26"/>
      <c r="D49" s="20"/>
      <c r="E49" s="20"/>
      <c r="F49" s="20"/>
      <c r="G49" s="20"/>
      <c r="H49" s="20"/>
      <c r="I49" s="20"/>
      <c r="J49" s="181"/>
      <c r="K49" s="6"/>
      <c r="V49" s="249"/>
      <c r="W49" s="398" t="str">
        <f>LEFT(B49,13)</f>
        <v>Dr: Acct 0698</v>
      </c>
      <c r="X49" s="398"/>
      <c r="Y49" s="263">
        <f>ROUND($J$49,-3)</f>
        <v>0</v>
      </c>
      <c r="AF49" s="311"/>
    </row>
    <row r="50" spans="1:32" ht="17.45" customHeight="1" x14ac:dyDescent="0.2">
      <c r="A50" s="15"/>
      <c r="B50" s="20" t="s">
        <v>1651</v>
      </c>
      <c r="C50" s="20"/>
      <c r="D50" s="20"/>
      <c r="E50" s="20"/>
      <c r="F50" s="20"/>
      <c r="G50" s="20"/>
      <c r="H50" s="20"/>
      <c r="I50" s="187"/>
      <c r="J50" s="181"/>
      <c r="K50" s="20"/>
      <c r="O50" s="28"/>
      <c r="V50" s="312"/>
      <c r="W50" s="398" t="str">
        <f>LEFT(B50,13)</f>
        <v>Dr: Acct 0775</v>
      </c>
      <c r="X50" s="398"/>
      <c r="Y50" s="263">
        <f>ROUND($J$50,-3)</f>
        <v>0</v>
      </c>
      <c r="AF50" s="311"/>
    </row>
    <row r="51" spans="1:32" ht="17.45" customHeight="1" x14ac:dyDescent="0.2">
      <c r="A51" s="15"/>
      <c r="B51" s="427" t="s">
        <v>1650</v>
      </c>
      <c r="C51" s="427" t="s">
        <v>1649</v>
      </c>
      <c r="D51" s="427" t="s">
        <v>1649</v>
      </c>
      <c r="E51" s="20"/>
      <c r="F51" s="20"/>
      <c r="G51" s="20"/>
      <c r="H51" s="20"/>
      <c r="I51" s="187"/>
      <c r="J51" s="181"/>
      <c r="K51" s="20"/>
      <c r="O51" s="28"/>
      <c r="V51" s="312"/>
      <c r="W51" s="398" t="str">
        <f>LEFT(B51,13)</f>
        <v>Dr: Acct 0778</v>
      </c>
      <c r="X51" s="398"/>
      <c r="Y51" s="263">
        <f>IF(SUM(ROUND($J$49,-3),ROUND($J$50,-3),ROUND($J$51,-3))=SUM(ROUND($K$52,-3),ROUND($K$53,-3),ROUND($K$54,-3)),ROUND($J$51,-3),IF(SUM(ROUND($J$49,-3),ROUND($J$50,-3),ROUND($J$51,-3))&gt;SUM(ROUND($K$52,-3),ROUND($K$53,-3),ROUND($K$54,-3)),ROUND($J$51,-3),SUM(ROUND($K$52,-3),ROUND($K$53,-3),ROUND($K$54,-3)-SUM(ROUND($J$49,-3),ROUND($J$50,-3)))))</f>
        <v>0</v>
      </c>
      <c r="AF51" s="311"/>
    </row>
    <row r="52" spans="1:32" ht="17.45" customHeight="1" x14ac:dyDescent="0.2">
      <c r="A52" s="15"/>
      <c r="B52" s="54"/>
      <c r="C52" s="54" t="s">
        <v>212</v>
      </c>
      <c r="D52" s="54"/>
      <c r="E52" s="20"/>
      <c r="F52" s="20"/>
      <c r="G52" s="20"/>
      <c r="H52" s="20"/>
      <c r="I52" s="187"/>
      <c r="J52" s="20"/>
      <c r="K52" s="181"/>
      <c r="O52" s="28"/>
      <c r="V52" s="312"/>
      <c r="X52" s="265" t="str">
        <f>LEFT(C52,13)</f>
        <v>Cr: Acct 0417</v>
      </c>
      <c r="Y52" s="266"/>
      <c r="Z52" s="263">
        <f>ROUND($K$52,-3)</f>
        <v>0</v>
      </c>
      <c r="AF52" s="311"/>
    </row>
    <row r="53" spans="1:32" ht="17.45" customHeight="1" x14ac:dyDescent="0.2">
      <c r="A53" s="15"/>
      <c r="B53" s="54"/>
      <c r="C53" s="54" t="s">
        <v>1652</v>
      </c>
      <c r="D53" s="54"/>
      <c r="E53" s="20"/>
      <c r="F53" s="20"/>
      <c r="G53" s="20"/>
      <c r="H53" s="20"/>
      <c r="I53" s="187"/>
      <c r="J53" s="20"/>
      <c r="K53" s="181"/>
      <c r="O53" s="28"/>
      <c r="V53" s="312"/>
      <c r="X53" s="265" t="str">
        <f>LEFT(C53,13)</f>
        <v>Cr: Acct 0775</v>
      </c>
      <c r="Y53" s="266"/>
      <c r="Z53" s="263">
        <f>ROUND($K$53,-3)</f>
        <v>0</v>
      </c>
      <c r="AF53" s="311"/>
    </row>
    <row r="54" spans="1:32" ht="17.45" customHeight="1" x14ac:dyDescent="0.25">
      <c r="A54" s="15"/>
      <c r="B54" s="178"/>
      <c r="C54" s="54" t="s">
        <v>1648</v>
      </c>
      <c r="D54" s="54"/>
      <c r="E54" s="54"/>
      <c r="F54" s="20"/>
      <c r="G54" s="20"/>
      <c r="H54" s="20"/>
      <c r="I54" s="26"/>
      <c r="J54" s="32"/>
      <c r="K54" s="181"/>
      <c r="V54" s="312"/>
      <c r="X54" s="265" t="str">
        <f>LEFT(C54,13)</f>
        <v>Cr: Acct 0778</v>
      </c>
      <c r="Y54" s="266"/>
      <c r="Z54" s="263">
        <f>IF(SUM(ROUND($J$49,-3),ROUND($J$50,-3),ROUND($J$51,-3))=SUM(ROUND($K$52,-3),ROUND($K$53,-3),ROUND($K$54,-3)),ROUND($K$54,-3),IF(SUM(ROUND($K$52,-3),ROUND($K$53,-3),ROUND($K$54,-3))&gt;SUM(ROUND($J$49,-3),ROUND($J$50,-3),ROUND($J$51,-3)),ROUND($K$54,-3),SUM(ROUND($J$49,-3),ROUND($J$50,-3),ROUND($J$51,-3)-SUM(ROUND($K$52,-3),ROUND($K$53,-3)))))</f>
        <v>0</v>
      </c>
      <c r="AF54" s="311"/>
    </row>
    <row r="55" spans="1:32" ht="17.45" customHeight="1" x14ac:dyDescent="0.3">
      <c r="A55" s="15"/>
      <c r="B55" s="168"/>
      <c r="C55" s="151"/>
      <c r="D55" s="151"/>
      <c r="E55" s="151"/>
      <c r="F55" s="20"/>
      <c r="G55" s="20"/>
      <c r="H55" s="20"/>
      <c r="I55" s="26"/>
      <c r="J55" s="142">
        <f>SUM(J49:J54)</f>
        <v>0</v>
      </c>
      <c r="K55" s="142">
        <f>SUM(K49:K54)</f>
        <v>0</v>
      </c>
      <c r="L55" s="52" t="str">
        <f>IF(J55=K55,"&lt;- Debits and Credits equal each other.","&lt;- Debits and Credits do not equal each other.")</f>
        <v>&lt;- Debits and Credits equal each other.</v>
      </c>
      <c r="V55" s="312"/>
      <c r="Y55" s="317">
        <f>ROUND(SUM(Y49:Y51),2)</f>
        <v>0</v>
      </c>
      <c r="Z55" s="317">
        <f>ROUND(SUM(Z52:Z54),2)</f>
        <v>0</v>
      </c>
      <c r="AA55" s="394" t="str">
        <f>IF(Y55=Z55,"&lt;- Debits and Credits equal each other.","&lt;- Debits and Credits do not equal each other.")</f>
        <v>&lt;- Debits and Credits equal each other.</v>
      </c>
      <c r="AB55" s="394"/>
      <c r="AC55" s="394"/>
      <c r="AD55" s="394"/>
      <c r="AE55" s="394"/>
      <c r="AF55" s="311"/>
    </row>
    <row r="56" spans="1:32" ht="17.45" customHeight="1" x14ac:dyDescent="0.2">
      <c r="A56" s="15"/>
      <c r="B56" s="20"/>
      <c r="C56" s="20"/>
      <c r="D56" s="20"/>
      <c r="E56" s="20"/>
      <c r="F56" s="20"/>
      <c r="G56" s="20"/>
      <c r="H56" s="20"/>
      <c r="I56" s="26"/>
      <c r="J56" s="32"/>
      <c r="K56" s="24"/>
      <c r="V56" s="312"/>
      <c r="AF56" s="311"/>
    </row>
    <row r="57" spans="1:32" ht="17.45" customHeight="1" x14ac:dyDescent="0.3">
      <c r="A57" s="169">
        <v>6</v>
      </c>
      <c r="B57" s="199" t="s">
        <v>1739</v>
      </c>
      <c r="D57" s="20"/>
      <c r="E57" s="20"/>
      <c r="F57" s="20"/>
      <c r="G57" s="20"/>
      <c r="H57" s="20"/>
      <c r="I57" s="26"/>
      <c r="J57" s="32"/>
      <c r="K57" s="24"/>
      <c r="V57" s="245">
        <f>A57</f>
        <v>6</v>
      </c>
      <c r="W57" s="273" t="str">
        <f>B57</f>
        <v>Record lease modifications to increase the lease receivable and other deferred inflows of resources.</v>
      </c>
      <c r="X57" s="274"/>
      <c r="Y57" s="274"/>
      <c r="AF57" s="311"/>
    </row>
    <row r="58" spans="1:32" ht="17.45" customHeight="1" x14ac:dyDescent="0.2">
      <c r="B58" s="20" t="s">
        <v>210</v>
      </c>
      <c r="C58" s="26"/>
      <c r="D58" s="20"/>
      <c r="E58" s="20"/>
      <c r="F58" s="20"/>
      <c r="G58" s="20"/>
      <c r="H58" s="20"/>
      <c r="I58" s="26"/>
      <c r="J58" s="181"/>
      <c r="K58" s="32"/>
      <c r="V58" s="249"/>
      <c r="W58" s="398" t="str">
        <f>LEFT(B58,13)</f>
        <v>Dr: Acct 0417</v>
      </c>
      <c r="X58" s="398"/>
      <c r="Y58" s="263">
        <f>ROUND($J$58,-3)</f>
        <v>0</v>
      </c>
      <c r="AF58" s="311"/>
    </row>
    <row r="59" spans="1:32" ht="17.45" customHeight="1" x14ac:dyDescent="0.25">
      <c r="A59" s="15"/>
      <c r="B59" s="178"/>
      <c r="C59" s="20" t="s">
        <v>211</v>
      </c>
      <c r="D59" s="20"/>
      <c r="E59" s="20"/>
      <c r="F59" s="20"/>
      <c r="G59" s="20"/>
      <c r="H59" s="20"/>
      <c r="I59" s="26"/>
      <c r="J59" s="32"/>
      <c r="K59" s="181"/>
      <c r="V59" s="312"/>
      <c r="X59" s="265" t="str">
        <f>LEFT(C59,13)</f>
        <v>Cr: Acct 0698</v>
      </c>
      <c r="Y59" s="266"/>
      <c r="Z59" s="263">
        <f>ROUND($K$59,-3)</f>
        <v>0</v>
      </c>
      <c r="AA59" s="411" t="s">
        <v>231</v>
      </c>
      <c r="AB59" s="411"/>
      <c r="AC59" s="411"/>
      <c r="AF59" s="311"/>
    </row>
    <row r="60" spans="1:32" ht="17.45" customHeight="1" x14ac:dyDescent="0.3">
      <c r="A60" s="15"/>
      <c r="B60" s="168"/>
      <c r="C60" s="151"/>
      <c r="D60" s="20"/>
      <c r="E60" s="20"/>
      <c r="F60" s="20"/>
      <c r="G60" s="20"/>
      <c r="H60" s="20"/>
      <c r="I60" s="26"/>
      <c r="J60" s="234">
        <f>J58</f>
        <v>0</v>
      </c>
      <c r="K60" s="143">
        <f>K59</f>
        <v>0</v>
      </c>
      <c r="L60" s="52" t="str">
        <f>IF(J60=K60,"&lt;- Debits and Credits equal each other.","&lt;- Debits and Credits do not equal each other.")</f>
        <v>&lt;- Debits and Credits equal each other.</v>
      </c>
      <c r="V60" s="312"/>
      <c r="X60" s="265" t="str">
        <f>LEFT(C60,13)</f>
        <v/>
      </c>
      <c r="Y60" s="317">
        <f>ROUND(SUM(Y58),2)</f>
        <v>0</v>
      </c>
      <c r="Z60" s="317">
        <f>ROUND(SUM(Z57:Z59),2)</f>
        <v>0</v>
      </c>
      <c r="AA60" s="394" t="str">
        <f>IF(Y60=Z60,"&lt;- Debits and Credits equal each other.","&lt;- Debits and Credits do not equal each other.")</f>
        <v>&lt;- Debits and Credits equal each other.</v>
      </c>
      <c r="AB60" s="394"/>
      <c r="AC60" s="394"/>
      <c r="AD60" s="394"/>
      <c r="AE60" s="394"/>
      <c r="AF60" s="311"/>
    </row>
    <row r="61" spans="1:32" ht="17.45" customHeight="1" x14ac:dyDescent="0.25">
      <c r="B61" s="20"/>
      <c r="C61" s="20"/>
      <c r="D61" s="20"/>
      <c r="E61" s="20"/>
      <c r="F61" s="20"/>
      <c r="G61" s="20"/>
      <c r="H61" s="20"/>
      <c r="I61" s="25"/>
      <c r="J61" s="33"/>
      <c r="K61" s="32"/>
      <c r="V61" s="312"/>
      <c r="AF61" s="311"/>
    </row>
    <row r="62" spans="1:32" ht="17.45" customHeight="1" x14ac:dyDescent="0.2">
      <c r="B62" s="34"/>
      <c r="C62" s="20"/>
      <c r="D62" s="20"/>
      <c r="E62" s="20"/>
      <c r="F62" s="20"/>
      <c r="G62" s="20"/>
      <c r="H62" s="20"/>
      <c r="I62" s="20"/>
      <c r="V62" s="312"/>
      <c r="AF62" s="311"/>
    </row>
    <row r="63" spans="1:32" ht="17.45" customHeight="1" x14ac:dyDescent="0.25">
      <c r="B63" s="31"/>
      <c r="C63" s="20"/>
      <c r="D63" s="20"/>
      <c r="E63" s="20"/>
      <c r="F63" s="20"/>
      <c r="G63" s="20"/>
      <c r="H63" s="20"/>
      <c r="I63" s="20"/>
      <c r="P63" s="266" t="str">
        <f>IF($K$102&lt;=0,"","&lt;- should be a negative amount")</f>
        <v/>
      </c>
      <c r="Q63" s="266"/>
      <c r="R63" s="266"/>
      <c r="S63" s="266"/>
      <c r="T63" s="266"/>
      <c r="V63" s="312"/>
      <c r="AF63" s="311"/>
    </row>
    <row r="64" spans="1:32" ht="17.45" customHeight="1" x14ac:dyDescent="0.2">
      <c r="B64" s="34"/>
      <c r="C64" s="20"/>
      <c r="D64" s="20"/>
      <c r="E64" s="20"/>
      <c r="F64" s="20"/>
      <c r="G64" s="20"/>
      <c r="H64" s="20"/>
      <c r="I64" s="32"/>
      <c r="L64" s="9"/>
      <c r="M64" s="19"/>
      <c r="P64" s="266"/>
      <c r="Q64" s="266"/>
      <c r="R64" s="266"/>
      <c r="S64" s="266"/>
      <c r="T64" s="266"/>
      <c r="V64" s="312"/>
      <c r="AF64" s="311"/>
    </row>
    <row r="65" spans="2:32" ht="20.25" x14ac:dyDescent="0.3">
      <c r="B65" s="20"/>
      <c r="C65" s="20"/>
      <c r="D65" s="211" t="s">
        <v>1702</v>
      </c>
      <c r="E65" s="212"/>
      <c r="F65" s="213"/>
      <c r="G65" s="213"/>
      <c r="H65" s="213"/>
      <c r="I65" s="214"/>
      <c r="J65" s="214"/>
      <c r="K65" s="215"/>
      <c r="P65" s="266"/>
      <c r="Q65" s="266"/>
      <c r="R65" s="266"/>
      <c r="S65" s="266"/>
      <c r="T65" s="266"/>
      <c r="V65" s="312"/>
      <c r="Y65" s="303" t="s">
        <v>1794</v>
      </c>
      <c r="Z65" s="212"/>
      <c r="AA65" s="213"/>
      <c r="AB65" s="304"/>
      <c r="AC65" s="324"/>
      <c r="AF65" s="311"/>
    </row>
    <row r="66" spans="2:32" ht="17.45" customHeight="1" x14ac:dyDescent="0.2">
      <c r="B66" s="20"/>
      <c r="C66" s="20"/>
      <c r="D66" s="37"/>
      <c r="E66" s="37"/>
      <c r="F66" s="37"/>
      <c r="G66" s="37"/>
      <c r="H66" s="37"/>
      <c r="I66" s="37"/>
      <c r="J66" s="37"/>
      <c r="K66" s="221" t="s">
        <v>1700</v>
      </c>
      <c r="P66" s="266"/>
      <c r="Q66" s="266"/>
      <c r="R66" s="266"/>
      <c r="S66" s="266"/>
      <c r="T66" s="266"/>
      <c r="V66" s="312"/>
      <c r="X66" s="37"/>
      <c r="Y66" s="37"/>
      <c r="Z66" s="221" t="str">
        <f>K66</f>
        <v>Debit (Credit)</v>
      </c>
      <c r="AA66" s="37"/>
      <c r="AB66" s="37"/>
      <c r="AD66" s="37"/>
      <c r="AF66" s="311"/>
    </row>
    <row r="67" spans="2:32" ht="17.45" customHeight="1" x14ac:dyDescent="0.25">
      <c r="B67" s="29"/>
      <c r="D67" s="178" t="s">
        <v>1703</v>
      </c>
      <c r="E67" s="37"/>
      <c r="F67" s="37"/>
      <c r="G67" s="37"/>
      <c r="H67" s="37"/>
      <c r="I67" s="37"/>
      <c r="J67" s="37"/>
      <c r="K67" s="220">
        <f>J14+J24-K31-K42-K52+J58</f>
        <v>0</v>
      </c>
      <c r="L67" s="37" t="str">
        <f>IF($K$67&gt;=0,"","&lt;- should be a positive amount")</f>
        <v/>
      </c>
      <c r="M67" s="37"/>
      <c r="N67" s="37"/>
      <c r="O67" s="37"/>
      <c r="P67" s="266"/>
      <c r="Q67" s="266"/>
      <c r="R67" s="266"/>
      <c r="S67" s="266"/>
      <c r="T67" s="266"/>
      <c r="V67" s="312"/>
      <c r="Y67" s="178" t="str">
        <f>LEFT(D67,10)</f>
        <v xml:space="preserve">Acct 0417 </v>
      </c>
      <c r="Z67" s="220">
        <f>Y14+Y24-Z31-Z42-Z52+Y58</f>
        <v>0</v>
      </c>
      <c r="AA67" s="380" t="str">
        <f>IF($Z$67&gt;=0,"","&lt;- please check, should be a positive amount")</f>
        <v/>
      </c>
      <c r="AB67" s="355"/>
      <c r="AC67" s="355"/>
      <c r="AD67" s="355"/>
      <c r="AE67" s="355"/>
      <c r="AF67" s="311"/>
    </row>
    <row r="68" spans="2:32" ht="17.45" customHeight="1" x14ac:dyDescent="0.25">
      <c r="D68" s="178" t="s">
        <v>1704</v>
      </c>
      <c r="E68" s="37"/>
      <c r="F68" s="37"/>
      <c r="G68" s="37"/>
      <c r="H68" s="37"/>
      <c r="I68" s="37"/>
      <c r="J68" s="37"/>
      <c r="K68" s="220">
        <f>J41</f>
        <v>0</v>
      </c>
      <c r="L68" s="37" t="str">
        <f>IF($K$68&gt;=0,"","&lt;- should be a positive amount")</f>
        <v/>
      </c>
      <c r="M68" s="37"/>
      <c r="N68" s="37"/>
      <c r="O68" s="37"/>
      <c r="P68" s="266"/>
      <c r="Q68" s="266"/>
      <c r="R68" s="266"/>
      <c r="S68" s="266"/>
      <c r="T68" s="266"/>
      <c r="V68" s="312"/>
      <c r="Y68" s="178" t="str">
        <f>LEFT(D68,10)</f>
        <v xml:space="preserve">Acct 0036 </v>
      </c>
      <c r="Z68" s="220">
        <f>AD39</f>
        <v>0</v>
      </c>
      <c r="AA68" s="382" t="str">
        <f>IF($Z$68&gt;=0,"","&lt;- please check, should be a positive amount")</f>
        <v/>
      </c>
      <c r="AB68" s="37"/>
      <c r="AC68" s="37"/>
      <c r="AD68" s="37"/>
      <c r="AF68" s="311"/>
    </row>
    <row r="69" spans="2:32" ht="17.45" customHeight="1" x14ac:dyDescent="0.25">
      <c r="D69" s="178" t="s">
        <v>1705</v>
      </c>
      <c r="E69" s="37"/>
      <c r="F69" s="37"/>
      <c r="G69" s="37"/>
      <c r="H69" s="37"/>
      <c r="I69" s="37"/>
      <c r="J69" s="37"/>
      <c r="K69" s="220">
        <f>-K17-K25+J36+J49-K59</f>
        <v>0</v>
      </c>
      <c r="L69" s="266" t="str">
        <f>IF($K$69&lt;=0,"","&lt;- should be a negative amount")</f>
        <v/>
      </c>
      <c r="M69" s="266"/>
      <c r="N69" s="266"/>
      <c r="O69" s="266"/>
      <c r="P69" s="266"/>
      <c r="Q69" s="266"/>
      <c r="R69" s="266"/>
      <c r="S69" s="266"/>
      <c r="T69" s="266"/>
      <c r="V69" s="312"/>
      <c r="Y69" s="178" t="str">
        <f>LEFT(D69,10)</f>
        <v xml:space="preserve">Acct 0698 </v>
      </c>
      <c r="Z69" s="220">
        <f>-Z17-Z25+Y36+Y49-Z59</f>
        <v>0</v>
      </c>
      <c r="AA69" s="380" t="str">
        <f>IF($Z$69&lt;=0,"","&lt;- please check, should be a negative amount")</f>
        <v/>
      </c>
      <c r="AB69" s="355"/>
      <c r="AC69" s="355"/>
      <c r="AD69" s="355"/>
      <c r="AE69" s="355"/>
      <c r="AF69" s="311"/>
    </row>
    <row r="70" spans="2:32" ht="17.45" customHeight="1" x14ac:dyDescent="0.2">
      <c r="I70" s="24"/>
      <c r="P70" s="266"/>
      <c r="Q70" s="266"/>
      <c r="R70" s="266"/>
      <c r="S70" s="266"/>
      <c r="T70" s="266"/>
      <c r="V70" s="312"/>
      <c r="AF70" s="311"/>
    </row>
    <row r="71" spans="2:32" ht="17.45" customHeight="1" x14ac:dyDescent="0.2">
      <c r="I71" s="24"/>
      <c r="P71" s="266"/>
      <c r="Q71" s="266"/>
      <c r="R71" s="266"/>
      <c r="S71" s="266"/>
      <c r="T71" s="266"/>
      <c r="V71" s="314"/>
      <c r="W71" s="315"/>
      <c r="X71" s="315"/>
      <c r="Y71" s="315"/>
      <c r="Z71" s="315"/>
      <c r="AA71" s="315"/>
      <c r="AB71" s="315"/>
      <c r="AC71" s="315"/>
      <c r="AD71" s="315"/>
      <c r="AE71" s="315"/>
      <c r="AF71" s="316"/>
    </row>
    <row r="72" spans="2:32" ht="17.45" customHeight="1" x14ac:dyDescent="0.2">
      <c r="I72" s="24"/>
      <c r="P72" s="266"/>
      <c r="Q72" s="266"/>
      <c r="R72" s="266"/>
      <c r="S72" s="266"/>
      <c r="T72" s="266"/>
    </row>
    <row r="73" spans="2:32" ht="17.45" customHeight="1" x14ac:dyDescent="0.2">
      <c r="P73" s="266"/>
      <c r="Q73" s="266"/>
      <c r="R73" s="266"/>
      <c r="S73" s="266"/>
      <c r="T73" s="266"/>
    </row>
  </sheetData>
  <sheetProtection algorithmName="SHA-512" hashValue="dCd3b/vuE1QyiFG9czSOLqOZ23BiDaA5dMYZZlC6rvPPs5BRekxLZLkwfc4P3NsvADfqfR1vwLzEmlnCvTx+Cw==" saltValue="llISASIwbzBiJjYQJb1FsA==" spinCount="100000" sheet="1" objects="1" scenarios="1"/>
  <mergeCells count="50">
    <mergeCell ref="B10:J10"/>
    <mergeCell ref="A8:D8"/>
    <mergeCell ref="B51:D51"/>
    <mergeCell ref="B30:I30"/>
    <mergeCell ref="M13:N13"/>
    <mergeCell ref="A1:K1"/>
    <mergeCell ref="A3:D3"/>
    <mergeCell ref="A5:D5"/>
    <mergeCell ref="A6:D6"/>
    <mergeCell ref="A7:D7"/>
    <mergeCell ref="A4:D4"/>
    <mergeCell ref="A2:I2"/>
    <mergeCell ref="P13:Q13"/>
    <mergeCell ref="B43:I45"/>
    <mergeCell ref="B36:E36"/>
    <mergeCell ref="B41:E41"/>
    <mergeCell ref="C42:E42"/>
    <mergeCell ref="V22:AF22"/>
    <mergeCell ref="W24:X24"/>
    <mergeCell ref="AA24:AC24"/>
    <mergeCell ref="AA25:AC25"/>
    <mergeCell ref="V9:Z10"/>
    <mergeCell ref="Y13:Z13"/>
    <mergeCell ref="AB13:AC13"/>
    <mergeCell ref="W16:X16"/>
    <mergeCell ref="AA20:AC20"/>
    <mergeCell ref="W15:X15"/>
    <mergeCell ref="AE13:AF13"/>
    <mergeCell ref="W14:X14"/>
    <mergeCell ref="AA60:AE60"/>
    <mergeCell ref="AA37:AC37"/>
    <mergeCell ref="AA41:AC41"/>
    <mergeCell ref="AA42:AC42"/>
    <mergeCell ref="V47:AF47"/>
    <mergeCell ref="AA59:AC59"/>
    <mergeCell ref="W41:X41"/>
    <mergeCell ref="W49:X49"/>
    <mergeCell ref="W50:X50"/>
    <mergeCell ref="W51:X51"/>
    <mergeCell ref="W58:X58"/>
    <mergeCell ref="AA26:AE26"/>
    <mergeCell ref="AA33:AE33"/>
    <mergeCell ref="AA38:AE38"/>
    <mergeCell ref="AA43:AE43"/>
    <mergeCell ref="AA55:AE55"/>
    <mergeCell ref="V28:AF28"/>
    <mergeCell ref="W30:X30"/>
    <mergeCell ref="AA30:AC30"/>
    <mergeCell ref="W36:X36"/>
    <mergeCell ref="AA36:AC36"/>
  </mergeCells>
  <conditionalFormatting sqref="B10">
    <cfRule type="containsText" dxfId="102" priority="7" operator="containsText" text="Answer the Department Note Disclosure questionnaire">
      <formula>NOT(ISERROR(SEARCH("Answer the Department Note Disclosure questionnaire",B10)))</formula>
    </cfRule>
  </conditionalFormatting>
  <conditionalFormatting sqref="L67:O67">
    <cfRule type="expression" dxfId="101" priority="18">
      <formula>$K$67&lt;0</formula>
    </cfRule>
  </conditionalFormatting>
  <conditionalFormatting sqref="L68:O68">
    <cfRule type="expression" dxfId="100" priority="1">
      <formula>$K$68&lt;0</formula>
    </cfRule>
  </conditionalFormatting>
  <conditionalFormatting sqref="L69:O69">
    <cfRule type="expression" dxfId="99" priority="10">
      <formula>$K$69&gt;0</formula>
    </cfRule>
  </conditionalFormatting>
  <conditionalFormatting sqref="L20:P20">
    <cfRule type="expression" dxfId="98" priority="64">
      <formula>$J$20&lt;&gt;$K$20</formula>
    </cfRule>
  </conditionalFormatting>
  <conditionalFormatting sqref="L26:P26">
    <cfRule type="expression" dxfId="97" priority="65">
      <formula>$J$26&lt;&gt;$K$26</formula>
    </cfRule>
  </conditionalFormatting>
  <conditionalFormatting sqref="L33:P33">
    <cfRule type="expression" dxfId="96" priority="66">
      <formula>$J$33&lt;&gt;$K$33</formula>
    </cfRule>
  </conditionalFormatting>
  <conditionalFormatting sqref="L38:P38">
    <cfRule type="expression" dxfId="95" priority="67">
      <formula>$J$38&lt;&gt;$K$38</formula>
    </cfRule>
  </conditionalFormatting>
  <conditionalFormatting sqref="L43:P43">
    <cfRule type="expression" dxfId="94" priority="72">
      <formula>$J$43&lt;&gt;$K$43</formula>
    </cfRule>
  </conditionalFormatting>
  <conditionalFormatting sqref="L55:P55">
    <cfRule type="expression" dxfId="93" priority="73">
      <formula>$J$55&lt;&gt;$K$55</formula>
    </cfRule>
  </conditionalFormatting>
  <conditionalFormatting sqref="L60:P60">
    <cfRule type="expression" dxfId="92" priority="74">
      <formula>$J$60&lt;&gt;$K$60</formula>
    </cfRule>
  </conditionalFormatting>
  <conditionalFormatting sqref="AA20">
    <cfRule type="cellIs" dxfId="91" priority="52" operator="equal">
      <formula>"&lt;- Debits and Credits do not equal each other."</formula>
    </cfRule>
  </conditionalFormatting>
  <conditionalFormatting sqref="AA24">
    <cfRule type="containsText" dxfId="90" priority="49" operator="containsText" text="&lt;- Accts 0789 must agree">
      <formula>NOT(ISERROR(SEARCH("&lt;- Accts 0789 must agree",AA24)))</formula>
    </cfRule>
  </conditionalFormatting>
  <conditionalFormatting sqref="AA26">
    <cfRule type="cellIs" dxfId="89" priority="3" operator="equal">
      <formula>"&lt;- Debits and Credits do not equal each other."</formula>
    </cfRule>
  </conditionalFormatting>
  <conditionalFormatting sqref="AA30">
    <cfRule type="containsText" dxfId="88" priority="45" operator="containsText" text="&lt;- Accts 0789 must agree">
      <formula>NOT(ISERROR(SEARCH("&lt;- Accts 0789 must agree",AA30)))</formula>
    </cfRule>
  </conditionalFormatting>
  <conditionalFormatting sqref="AA33">
    <cfRule type="cellIs" dxfId="87" priority="4" operator="equal">
      <formula>"&lt;- Debits and Credits do not equal each other."</formula>
    </cfRule>
  </conditionalFormatting>
  <conditionalFormatting sqref="AA36">
    <cfRule type="containsText" dxfId="86" priority="42" operator="containsText" text="&lt;- Accts 0789 must agree">
      <formula>NOT(ISERROR(SEARCH("&lt;- Accts 0789 must agree",AA36)))</formula>
    </cfRule>
  </conditionalFormatting>
  <conditionalFormatting sqref="AA38">
    <cfRule type="cellIs" dxfId="85" priority="5" operator="equal">
      <formula>"&lt;- Debits and Credits do not equal each other."</formula>
    </cfRule>
  </conditionalFormatting>
  <conditionalFormatting sqref="AA41">
    <cfRule type="containsText" dxfId="84" priority="38" operator="containsText" text="&lt;- Accts 0789 must agree">
      <formula>NOT(ISERROR(SEARCH("&lt;- Accts 0789 must agree",AA41)))</formula>
    </cfRule>
  </conditionalFormatting>
  <conditionalFormatting sqref="AA43">
    <cfRule type="cellIs" dxfId="83" priority="21" operator="equal">
      <formula>"&lt;- Debits and Credits do not equal each other."</formula>
    </cfRule>
  </conditionalFormatting>
  <conditionalFormatting sqref="AA55">
    <cfRule type="cellIs" dxfId="82" priority="6" operator="equal">
      <formula>"&lt;- Debits and Credits do not equal each other."</formula>
    </cfRule>
  </conditionalFormatting>
  <conditionalFormatting sqref="AA60">
    <cfRule type="cellIs" dxfId="81" priority="2" operator="equal">
      <formula>"&lt;- Debits and Credits do not equal each other."</formula>
    </cfRule>
  </conditionalFormatting>
  <conditionalFormatting sqref="AA24:AC24">
    <cfRule type="containsText" dxfId="80" priority="48" operator="containsText" text="&lt;- Accts 0842 must agree">
      <formula>NOT(ISERROR(SEARCH("&lt;- Accts 0842 must agree",AA24)))</formula>
    </cfRule>
  </conditionalFormatting>
  <conditionalFormatting sqref="AA25:AC25">
    <cfRule type="containsText" dxfId="79" priority="47" operator="containsText" text="&lt;- Accts 0789 must agree">
      <formula>NOT(ISERROR(SEARCH("&lt;- Accts 0789 must agree",AA25)))</formula>
    </cfRule>
  </conditionalFormatting>
  <conditionalFormatting sqref="AA30:AC30">
    <cfRule type="containsText" dxfId="78" priority="44" operator="containsText" text="&lt;- Accts 0842 must agree">
      <formula>NOT(ISERROR(SEARCH("&lt;- Accts 0842 must agree",AA30)))</formula>
    </cfRule>
  </conditionalFormatting>
  <conditionalFormatting sqref="AA36:AC36">
    <cfRule type="containsText" dxfId="77" priority="41" operator="containsText" text="&lt;- Accts 0842 must agree">
      <formula>NOT(ISERROR(SEARCH("&lt;- Accts 0842 must agree",AA36)))</formula>
    </cfRule>
  </conditionalFormatting>
  <conditionalFormatting sqref="AA37:AC37">
    <cfRule type="containsText" dxfId="76" priority="40" operator="containsText" text="&lt;- Accts 0789 must agree">
      <formula>NOT(ISERROR(SEARCH("&lt;- Accts 0789 must agree",AA37)))</formula>
    </cfRule>
  </conditionalFormatting>
  <conditionalFormatting sqref="AA41:AC41">
    <cfRule type="containsText" dxfId="75" priority="37" operator="containsText" text="&lt;- Accts 0842 must agree">
      <formula>NOT(ISERROR(SEARCH("&lt;- Accts 0842 must agree",AA41)))</formula>
    </cfRule>
  </conditionalFormatting>
  <conditionalFormatting sqref="AA42:AC42">
    <cfRule type="containsText" dxfId="74" priority="36" operator="containsText" text="&lt;- Accts 0789 must agree">
      <formula>NOT(ISERROR(SEARCH("&lt;- Accts 0789 must agree",AA42)))</formula>
    </cfRule>
  </conditionalFormatting>
  <conditionalFormatting sqref="AA59:AC59">
    <cfRule type="containsText" dxfId="73" priority="33" operator="containsText" text="&lt;- Accts 0789 must agree">
      <formula>NOT(ISERROR(SEARCH("&lt;- Accts 0789 must agree",AA59)))</formula>
    </cfRule>
  </conditionalFormatting>
  <conditionalFormatting sqref="AE14:AF19">
    <cfRule type="containsText" dxfId="72" priority="27" operator="containsText" text="0">
      <formula>NOT(ISERROR(SEARCH("0",AE14)))</formula>
    </cfRule>
  </conditionalFormatting>
  <conditionalFormatting sqref="AF21">
    <cfRule type="cellIs" dxfId="71" priority="25" operator="greaterThan">
      <formula>0</formula>
    </cfRule>
    <cfRule type="cellIs" dxfId="70" priority="24" operator="lessThan">
      <formula>0</formula>
    </cfRule>
  </conditionalFormatting>
  <dataValidations count="4">
    <dataValidation type="whole" operator="greaterThanOrEqual" allowBlank="1" showErrorMessage="1" errorTitle="Whole Number Only" error="Only enter whole numbers." sqref="K52:K54 J49:J51 J30 K31:K32 J36 K37 K42 J41" xr:uid="{00000000-0002-0000-0800-000000000000}">
      <formula1>0</formula1>
    </dataValidation>
    <dataValidation type="textLength" operator="equal" allowBlank="1" showInputMessage="1" showErrorMessage="1" errorTitle="4-Digit Org Code" error="Enter the Org Code/BU as 4 digits." sqref="E5" xr:uid="{00000000-0002-0000-0800-000001000000}">
      <formula1>4</formula1>
    </dataValidation>
    <dataValidation type="whole" operator="greaterThanOrEqual" allowBlank="1" showErrorMessage="1" errorTitle="Whole Numbers Only" error="Enter amounts as whole numbers only." promptTitle="Whole Numbers" prompt="Enter whole numbers only." sqref="J14:J16 Z52:Z54 Q17 K17:K19 M14:M16 P14 Y14:Y16 Z17:Z19 Y58 Y30 Z25 Y24 Z31:Z32 Y36 Z37 Y41 Z59 Y49:Y51 Z42 N17:N19 J24 K25 K59 J58" xr:uid="{00000000-0002-0000-0800-000002000000}">
      <formula1>0</formula1>
    </dataValidation>
    <dataValidation type="whole" operator="greaterThanOrEqual" allowBlank="1" showInputMessage="1" showErrorMessage="1" sqref="AB14:AB15 AC17:AC18" xr:uid="{80B89C77-156B-4C81-88D7-24EFDD123CC9}">
      <formula1>0</formula1>
    </dataValidation>
  </dataValidations>
  <pageMargins left="0.7" right="0.7" top="0.75" bottom="0.75" header="0.3" footer="0.3"/>
  <pageSetup scale="48" fitToHeight="0" orientation="landscape" r:id="rId1"/>
  <headerFooter>
    <oddHeader>&amp;C&amp;"Arial,Bold"&amp;14GASB 87 
Fund Consolidated Journal Entries</oddHeader>
    <oddFooter>&amp;L&amp;"arial,Regular"&amp;12State Controller's Office&amp;C&amp;"arial,Regular"&amp;12Fund #### Journal Entries&amp;R&amp;"arial,Regular"&amp;12Page &amp;P of &amp;N</oddFooter>
  </headerFooter>
  <rowBreaks count="1" manualBreakCount="1">
    <brk id="39" max="1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3000000}">
          <x14:formula1>
            <xm:f>'Drop Down Menus'!$A$1:$A$101</xm:f>
          </x14:formula1>
          <xm:sqref>E3</xm:sqref>
        </x14:dataValidation>
        <x14:dataValidation type="list" allowBlank="1" showInputMessage="1" showErrorMessage="1" xr:uid="{00000000-0002-0000-0800-000004000000}">
          <x14:formula1>
            <xm:f>'Drop Down Menus'!$B$1:$B$2</xm:f>
          </x14:formula1>
          <xm:sqref>E7</xm:sqref>
        </x14:dataValidation>
        <x14:dataValidation type="list" allowBlank="1" showInputMessage="1" showErrorMessage="1" xr:uid="{00000000-0002-0000-0800-000005000000}">
          <x14:formula1>
            <xm:f>'Drop Down Menus'!$E$1:$E$3</xm:f>
          </x14:formula1>
          <xm:sqref>E8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vt:i4>
      </vt:variant>
    </vt:vector>
  </HeadingPairs>
  <TitlesOfParts>
    <vt:vector size="23" baseType="lpstr">
      <vt:lpstr>Drop Down Menus</vt:lpstr>
      <vt:lpstr>qryIndex02a</vt:lpstr>
      <vt:lpstr>LS-Version Changes</vt:lpstr>
      <vt:lpstr>LS-Fund #### Journal Entries</vt:lpstr>
      <vt:lpstr>LS-Department Note Disclosure</vt:lpstr>
      <vt:lpstr>LS-Lease Liabilities</vt:lpstr>
      <vt:lpstr>LS-Check Figures  </vt:lpstr>
      <vt:lpstr>LR-Version Changes</vt:lpstr>
      <vt:lpstr>LR-Fund #### Journal Entries</vt:lpstr>
      <vt:lpstr>LR-Department Note Disclosure</vt:lpstr>
      <vt:lpstr>LR-Check Figures</vt:lpstr>
      <vt:lpstr>FP-Version Changes</vt:lpstr>
      <vt:lpstr>FP-Fund #### Journal Entries</vt:lpstr>
      <vt:lpstr>FP-Lease Liabilities</vt:lpstr>
      <vt:lpstr>FP-Check Figures</vt:lpstr>
      <vt:lpstr>'FP-Fund #### Journal Entries'!Print_Area</vt:lpstr>
      <vt:lpstr>'FP-Lease Liabilities'!Print_Area</vt:lpstr>
      <vt:lpstr>'LR-Check Figures'!Print_Area</vt:lpstr>
      <vt:lpstr>'LR-Department Note Disclosure'!Print_Area</vt:lpstr>
      <vt:lpstr>'LR-Fund #### Journal Entries'!Print_Area</vt:lpstr>
      <vt:lpstr>'LS-Department Note Disclosure'!Print_Area</vt:lpstr>
      <vt:lpstr>'LS-Fund #### Journal Entries'!Print_Area</vt:lpstr>
      <vt:lpstr>'LS-Lease Liabilities'!Print_Area</vt:lpstr>
    </vt:vector>
  </TitlesOfParts>
  <Company>State Controller's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Bradford, Christopher</dc:creator>
  <cp:lastModifiedBy>Formanyuk, Alex</cp:lastModifiedBy>
  <cp:lastPrinted>2024-09-14T00:58:00Z</cp:lastPrinted>
  <dcterms:created xsi:type="dcterms:W3CDTF">2023-03-08T17:19:33Z</dcterms:created>
  <dcterms:modified xsi:type="dcterms:W3CDTF">2025-08-20T23:55:02Z</dcterms:modified>
</cp:coreProperties>
</file>