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872" windowHeight="9048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'calc'!$L$29:$O$319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<sst xmlns="http://schemas.openxmlformats.org/spreadsheetml/2006/main" count="874" uniqueCount="543">
  <si>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</si>
  <si>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</si>
  <si>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</si>
  <si>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</si>
  <si>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</si>
  <si>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</si>
  <si>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</si>
  <si>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</si>
  <si>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</si>
  <si>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</si>
  <si>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</si>
  <si>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</si>
  <si>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</si>
  <si>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</si>
  <si>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</si>
  <si>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</si>
  <si>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</si>
  <si>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</si>
  <si>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</si>
  <si>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</si>
  <si>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</si>
  <si>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</si>
  <si>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</si>
  <si>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</si>
  <si>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</si>
  <si>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</si>
  <si>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</si>
  <si>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</si>
  <si>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</si>
  <si>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</si>
  <si>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</si>
  <si>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</si>
  <si>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</si>
  <si>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</si>
  <si>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</si>
  <si>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</si>
  <si>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</si>
  <si>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</si>
  <si>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</si>
  <si>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</si>
  <si>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</si>
  <si>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</si>
  <si>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</si>
  <si>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</si>
  <si>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</si>
  <si>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</si>
  <si>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</si>
  <si>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</si>
  <si>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</si>
  <si>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</si>
  <si>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</si>
  <si>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</si>
  <si>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</si>
  <si>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</si>
  <si>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</si>
  <si>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</si>
  <si>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</si>
  <si>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</si>
  <si>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</si>
  <si>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</si>
  <si>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</si>
  <si>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</si>
  <si>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</si>
  <si>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</si>
  <si>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</si>
  <si>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</si>
  <si>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</si>
  <si>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</si>
  <si>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</si>
  <si>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</si>
  <si>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</si>
  <si>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</si>
  <si>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</si>
  <si>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</si>
  <si>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</si>
  <si>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</si>
  <si>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</si>
  <si>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</si>
  <si>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</si>
  <si>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</si>
  <si>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</si>
  <si>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</si>
  <si>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</si>
  <si>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</si>
  <si>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</si>
  <si>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</si>
  <si>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</si>
  <si>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</si>
  <si>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</si>
  <si>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</si>
  <si>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</si>
  <si>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</si>
  <si>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</si>
  <si>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</si>
  <si>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</si>
  <si>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</si>
  <si>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</si>
  <si>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</si>
  <si>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</si>
  <si>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</si>
  <si>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</si>
  <si>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</si>
  <si>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</si>
  <si>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</si>
  <si>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</si>
  <si>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</si>
  <si>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</si>
  <si>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</si>
  <si>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</si>
  <si>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</si>
  <si>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</si>
  <si>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</si>
  <si>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</si>
  <si>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</si>
  <si>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</si>
  <si>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</si>
  <si>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</si>
  <si>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</si>
  <si>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</si>
  <si>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</si>
  <si>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</si>
  <si>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</si>
  <si>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</si>
  <si>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</si>
  <si>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</si>
  <si>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</si>
  <si>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</si>
  <si>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</si>
  <si>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</si>
  <si>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</si>
  <si>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</si>
  <si>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</si>
  <si>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</si>
  <si>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</si>
  <si>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</si>
  <si>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</si>
  <si>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</si>
  <si>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</si>
  <si>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</si>
  <si>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</si>
  <si>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</si>
  <si>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</si>
  <si>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</si>
  <si>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</si>
  <si>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</si>
  <si>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</si>
  <si>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</si>
  <si>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</si>
  <si>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</si>
  <si>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</si>
  <si>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</si>
  <si>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</si>
  <si>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</si>
  <si>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</si>
  <si>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</si>
  <si>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</si>
  <si>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</si>
  <si>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</si>
  <si>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</si>
  <si>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</si>
  <si>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</si>
  <si>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</si>
  <si>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</si>
  <si>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</si>
  <si>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</si>
  <si>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</si>
  <si>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</si>
  <si>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</si>
  <si>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</si>
  <si>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</si>
  <si>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</si>
  <si>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</si>
  <si>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</si>
  <si>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</si>
  <si>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</si>
  <si>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</si>
  <si>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</si>
  <si>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</si>
  <si>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</si>
  <si>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</si>
  <si>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</si>
  <si>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</si>
  <si>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</si>
  <si>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</si>
  <si>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</si>
  <si>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</si>
  <si>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</si>
  <si>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</si>
  <si>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</si>
  <si>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</si>
  <si>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</si>
  <si>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</si>
  <si>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</si>
  <si>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</si>
  <si>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</si>
  <si>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</si>
  <si>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</si>
  <si>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</si>
  <si>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</si>
  <si>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</si>
  <si>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</si>
  <si>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</si>
  <si>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</si>
  <si>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</si>
  <si>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</si>
  <si>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</si>
  <si>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</si>
  <si>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</si>
  <si>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</si>
  <si>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</si>
  <si>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</si>
  <si>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</si>
  <si>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</si>
  <si>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</si>
  <si>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</si>
  <si>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</si>
  <si>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</si>
  <si>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</si>
  <si>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</si>
  <si>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</si>
  <si>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</si>
  <si>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</si>
  <si>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</si>
  <si>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</si>
  <si>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</si>
  <si>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</si>
  <si>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</si>
  <si>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</si>
  <si>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</si>
  <si>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</si>
  <si>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</si>
  <si>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</si>
  <si>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</si>
  <si>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</si>
  <si>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</si>
  <si>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</si>
  <si>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</si>
  <si>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</si>
  <si>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</si>
  <si>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</si>
  <si>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</si>
  <si>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</si>
  <si>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</si>
  <si>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</si>
  <si>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</si>
  <si>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</si>
  <si>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</si>
  <si>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</si>
  <si>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</si>
  <si>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</si>
  <si>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</si>
  <si>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</si>
  <si>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</si>
  <si>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</si>
  <si>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</si>
  <si>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</si>
  <si>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</si>
  <si>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</si>
  <si>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</si>
  <si>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</si>
  <si>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</si>
  <si>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</si>
  <si>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</si>
  <si>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</si>
  <si>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</si>
  <si>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</si>
  <si>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</si>
  <si>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</si>
  <si>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</si>
  <si>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</si>
  <si>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</si>
  <si>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</si>
  <si>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</si>
  <si>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</si>
  <si>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</si>
  <si>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</si>
  <si>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</si>
  <si>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</si>
  <si>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</si>
  <si>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</si>
  <si>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</si>
  <si>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</si>
  <si>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</si>
  <si>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</si>
  <si>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</si>
  <si>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</si>
  <si>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</si>
  <si>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</si>
  <si>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</si>
  <si>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</si>
  <si>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</si>
  <si>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</si>
  <si>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</si>
  <si>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</si>
  <si>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</si>
  <si>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</si>
  <si>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</si>
  <si>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</si>
  <si>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</si>
  <si>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</si>
  <si>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</si>
  <si>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</si>
  <si>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</si>
  <si>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</si>
  <si>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</si>
  <si>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</si>
  <si>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</si>
  <si>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</si>
  <si>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</si>
  <si>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</si>
  <si>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</si>
  <si>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</si>
  <si>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</si>
  <si>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</si>
  <si>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</si>
  <si>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</si>
  <si>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</si>
  <si>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</si>
  <si>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</si>
  <si>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</si>
  <si>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</si>
  <si>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</si>
  <si>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</si>
  <si>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</si>
  <si>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</si>
  <si>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</si>
  <si>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</si>
  <si>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</si>
  <si>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</si>
  <si>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</si>
  <si>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</si>
  <si>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</si>
  <si>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</si>
  <si>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</si>
  <si>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</si>
  <si>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</si>
  <si>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</si>
  <si>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</si>
  <si>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</si>
  <si>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</si>
  <si>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</si>
  <si>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</si>
  <si>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</si>
  <si>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</si>
  <si>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</si>
  <si>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</si>
  <si>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</si>
  <si>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</si>
  <si>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</si>
  <si>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</si>
  <si>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</si>
  <si>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</si>
  <si>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</si>
  <si>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</si>
  <si>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</si>
  <si>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</si>
  <si>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</si>
  <si>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</si>
  <si>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</si>
  <si>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</si>
  <si>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</si>
  <si>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</si>
  <si>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</si>
  <si>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</si>
  <si>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</si>
  <si>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</si>
  <si>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</si>
  <si>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</si>
  <si>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</si>
  <si>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</si>
  <si>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</si>
  <si>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</si>
  <si>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</si>
  <si>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</si>
  <si>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</si>
  <si>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</si>
  <si>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</si>
  <si>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</si>
  <si>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</si>
  <si>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</si>
  <si>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</si>
  <si>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</si>
  <si>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</si>
  <si>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</si>
  <si>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</si>
  <si>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</si>
  <si>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</si>
  <si>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</si>
  <si>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</si>
  <si>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</si>
  <si>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</si>
  <si>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</si>
  <si>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</si>
  <si>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</si>
  <si>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</si>
  <si>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</si>
  <si>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</si>
  <si>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</si>
  <si>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</si>
  <si>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</si>
  <si>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</si>
  <si>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</si>
  <si>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</si>
  <si>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</si>
  <si>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</si>
  <si>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</si>
  <si>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</si>
  <si>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</si>
  <si>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</si>
  <si>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</si>
  <si>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</si>
  <si>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</si>
  <si>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</si>
  <si>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</si>
  <si>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</si>
  <si>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</si>
  <si>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</si>
  <si>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</si>
  <si>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</si>
  <si>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</si>
  <si>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</si>
  <si>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</si>
  <si>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</si>
  <si>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</si>
  <si>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</si>
  <si>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</si>
  <si>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</si>
  <si>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</si>
  <si>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</si>
  <si>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</si>
  <si>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</si>
  <si>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</si>
  <si>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</si>
  <si>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</si>
  <si>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</si>
  <si>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</si>
  <si>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</si>
  <si>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</si>
  <si>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</si>
  <si>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</si>
  <si>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</si>
  <si>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</si>
  <si>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</si>
  <si>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</si>
  <si>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</si>
  <si>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</si>
  <si>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</si>
  <si>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</si>
  <si>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</si>
  <si>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</si>
  <si>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</si>
  <si>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</si>
  <si>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</si>
  <si>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</si>
  <si>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</si>
  <si>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</si>
  <si>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</si>
  <si>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</si>
  <si>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</si>
  <si>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</si>
  <si>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</si>
  <si>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</si>
  <si>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</si>
  <si>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</si>
  <si>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</si>
  <si>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</si>
  <si>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</si>
  <si>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</si>
  <si>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</si>
  <si>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</si>
  <si>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</si>
  <si>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</si>
  <si>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</si>
  <si>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</si>
  <si>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</si>
  <si>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</si>
  <si>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</si>
  <si>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</si>
  <si>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</si>
  <si>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</si>
  <si>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</si>
  <si>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</si>
  <si>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</si>
  <si>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</si>
  <si>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</si>
  <si>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</si>
  <si>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</si>
  <si>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</si>
  <si>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</si>
  <si>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</si>
  <si>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</si>
  <si>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</si>
  <si>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</si>
  <si>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</si>
  <si>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</si>
  <si>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</si>
  <si>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</si>
  <si>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</si>
  <si>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</si>
  <si>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</si>
  <si>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</si>
  <si>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</si>
  <si>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</si>
  <si>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</si>
  <si>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</si>
  <si>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</si>
  <si>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</si>
  <si>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</si>
  <si>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</si>
  <si>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</si>
  <si>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</si>
  <si>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</si>
  <si>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</si>
  <si>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</si>
  <si>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</si>
  <si>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</si>
  <si>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</si>
  <si>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</si>
  <si>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</si>
  <si>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</si>
  <si>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</si>
  <si>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</si>
  <si>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</si>
  <si>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</si>
  <si>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</si>
  <si>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NEW YORK STATE TAX</t>
  </si>
  <si>
    <t>(M, S)</t>
  </si>
  <si>
    <t>Pay Frequency</t>
  </si>
  <si>
    <t>(M, S, B for Monthly, Semi-Monthly, and Bi-Weekly)</t>
  </si>
  <si>
    <r>
      <t xml:space="preserve">STATE CONTROLLER'S OFFICE PAYCHECK CALCULATOR-2016 TAX RATES </t>
    </r>
    <r>
      <rPr>
        <b/>
        <sz val="8"/>
        <rFont val="Palatino"/>
        <family val="1"/>
      </rPr>
      <t>(EFF. 1/1/16)</t>
    </r>
  </si>
  <si>
    <t>1st Half (1) or 2nd Half (2)</t>
  </si>
  <si>
    <t>If Monthly or Bi-Weekly, leave blank.  If Semi Monthly, see instructions below.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</si>
  <si>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</si>
  <si>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</si>
  <si>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 xml:space="preserve">retirement exclusion to apply to the only semi-monthly payment issued for that specific pay period.  </t>
  </si>
  <si>
    <t xml:space="preserve">If the employee received first half pay and you are calculating second half pay, you must enter 2 in A6 </t>
  </si>
  <si>
    <t>so that the retirement exclusion will not apply a second time to the calcuations.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</si>
  <si>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 use the calculator</t>
    </r>
  </si>
  <si>
    <t xml:space="preserve">to appropriately calculate the second half payment.   (e.g. first half gross = $400 and retirement exclusion = $513,  </t>
  </si>
  <si>
    <t xml:space="preserve">no retirement will be withheld from the first half payment).  In this case, the remainder of the retirement exclusion ($113)  </t>
  </si>
  <si>
    <t>will apply to the second half payment and at this time the calculator is not programed for this calculation.  Manual</t>
  </si>
  <si>
    <r>
      <t xml:space="preserve">calculations will be required, </t>
    </r>
    <r>
      <rPr>
        <sz val="12"/>
        <color indexed="62"/>
        <rFont val="Tms Rmn"/>
        <family val="0"/>
      </rPr>
      <t>s</t>
    </r>
    <r>
      <rPr>
        <sz val="12"/>
        <rFont val="Tms Rmn"/>
        <family val="0"/>
      </rPr>
      <t>ee PPM Section H for federal and state tax calculation instructions.</t>
    </r>
  </si>
  <si>
    <t>08/24/17 Ret Excl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</si>
</sst>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&quot;$&quot;#,##0.00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7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7" fontId="7" fillId="0" borderId="15" xfId="0" applyNumberFormat="1" applyFont="1" applyFill="1" applyBorder="1" applyAlignment="1">
      <alignment/>
    </xf>
    <xf numFmtId="7" fontId="7" fillId="0" borderId="15" xfId="0" applyNumberFormat="1" applyFont="1" applyBorder="1" applyAlignment="1">
      <alignment/>
    </xf>
    <xf numFmtId="7" fontId="5" fillId="33" borderId="15" xfId="0" applyNumberFormat="1" applyFont="1" applyFill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16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164" fontId="0" fillId="34" borderId="18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left"/>
    </xf>
    <xf numFmtId="172" fontId="8" fillId="0" borderId="13" xfId="0" applyNumberFormat="1" applyFont="1" applyFill="1" applyBorder="1" applyAlignment="1" applyProtection="1">
      <alignment horizontal="right"/>
      <protection locked="0"/>
    </xf>
    <xf numFmtId="49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/>
    </xf>
    <xf numFmtId="7" fontId="8" fillId="0" borderId="14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2" width="13.69921875" style="0" customWidth="1"/>
    <col min="3" max="3" width="13.3984375" style="0" customWidth="1"/>
    <col min="4" max="4" width="11.796875" style="0" customWidth="1"/>
    <col min="5" max="5" width="12.19921875" style="0" customWidth="1"/>
    <col min="6" max="6" width="12" style="0" customWidth="1"/>
    <col min="7" max="7" width="11.796875" style="0" customWidth="1"/>
    <col min="8" max="8" width="9.89843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2968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9" t="s">
        <v>529</v>
      </c>
      <c r="C1" s="8"/>
      <c r="D1" s="8"/>
      <c r="E1" s="11"/>
      <c r="F1" s="11"/>
      <c r="G1" s="11"/>
      <c r="I1" s="2" t="s">
        <v>0</v>
      </c>
      <c r="K1" t="s">
        <v>224</v>
      </c>
      <c r="L1" s="2" t="s">
        <v>1</v>
      </c>
      <c r="M1" s="2" t="s">
        <v>2</v>
      </c>
      <c r="N1" s="2" t="s">
        <v>221</v>
      </c>
      <c r="O1" s="2" t="s">
        <v>3</v>
      </c>
      <c r="S1" s="2" t="s">
        <v>4</v>
      </c>
    </row>
    <row r="2" spans="2:19" ht="15.75" thickBot="1">
      <c r="B2" s="9" t="s">
        <v>525</v>
      </c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6" t="s">
        <v>542</v>
      </c>
      <c r="L2">
        <v>0.062</v>
      </c>
      <c r="M2">
        <v>0.0145</v>
      </c>
      <c r="N2">
        <v>0.009</v>
      </c>
      <c r="O2" s="3">
        <v>4050</v>
      </c>
      <c r="S2" s="2" t="s">
        <v>9</v>
      </c>
    </row>
    <row r="3" spans="1:19" ht="15" customHeight="1">
      <c r="A3" s="16" t="s">
        <v>5</v>
      </c>
      <c r="B3" s="64">
        <v>4500</v>
      </c>
      <c r="C3" s="16" t="s">
        <v>6</v>
      </c>
      <c r="D3" s="17"/>
      <c r="E3" s="17"/>
      <c r="F3" s="17"/>
      <c r="G3" s="24" t="s">
        <v>7</v>
      </c>
      <c r="I3" s="2" t="s">
        <v>10</v>
      </c>
      <c r="J3" s="3">
        <f>ROUND((GROSS+Flex_Cash-Total_Flex)*MED_,2)</f>
        <v>65.25</v>
      </c>
      <c r="L3">
        <v>0</v>
      </c>
      <c r="M3">
        <v>0</v>
      </c>
      <c r="R3" s="3"/>
      <c r="S3" s="3">
        <v>1000</v>
      </c>
    </row>
    <row r="4" spans="1:15" ht="15" customHeight="1">
      <c r="A4" s="20" t="s">
        <v>527</v>
      </c>
      <c r="B4" s="60" t="s">
        <v>211</v>
      </c>
      <c r="C4" s="20" t="s">
        <v>528</v>
      </c>
      <c r="D4" s="31"/>
      <c r="E4" s="31"/>
      <c r="F4" s="31"/>
      <c r="G4" s="22"/>
      <c r="I4" s="2" t="s">
        <v>11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12</v>
      </c>
    </row>
    <row r="5" spans="1:19" ht="16.5" customHeight="1">
      <c r="A5" s="10" t="s">
        <v>228</v>
      </c>
      <c r="B5" s="61" t="s">
        <v>406</v>
      </c>
      <c r="C5" s="43" t="s">
        <v>523</v>
      </c>
      <c r="D5" s="44"/>
      <c r="E5" s="31"/>
      <c r="F5" s="31"/>
      <c r="G5" s="32"/>
      <c r="I5" s="2" t="s">
        <v>14</v>
      </c>
      <c r="J5" s="3">
        <f>ROUND((GROSS+Flex_Cash-Total_Flex)*OASDI_,2)</f>
        <v>279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6.5" customHeight="1">
      <c r="A6" s="10" t="s">
        <v>530</v>
      </c>
      <c r="B6" s="62"/>
      <c r="C6" s="20" t="s">
        <v>531</v>
      </c>
      <c r="D6" s="31"/>
      <c r="E6" s="31"/>
      <c r="F6" s="31"/>
      <c r="G6" s="22"/>
      <c r="I6" s="2" t="s">
        <v>22</v>
      </c>
      <c r="J6" s="53">
        <f>VLOOKUP(CAT,RETID_TABLE,3)</f>
        <v>513</v>
      </c>
      <c r="K6" s="65">
        <f>IF(B4="B",EPMCD*12/26,"")</f>
      </c>
      <c r="L6" s="65">
        <f>IF(AND(B4="B",K6&lt;GROSS),(GROSS-(K6))*EPMC_,0)</f>
        <v>0</v>
      </c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6.5" customHeight="1">
      <c r="A7" s="10" t="s">
        <v>13</v>
      </c>
      <c r="B7" s="63" t="str">
        <f>VLOOKUP(CAT,RETID_TABLE,4)</f>
        <v>SS</v>
      </c>
      <c r="C7" s="20" t="s">
        <v>519</v>
      </c>
      <c r="D7" s="31"/>
      <c r="E7" s="31"/>
      <c r="F7" s="31"/>
      <c r="G7" s="22"/>
      <c r="I7" s="2" t="s">
        <v>27</v>
      </c>
      <c r="J7" s="6">
        <f>VLOOKUP(CAT,RETID_TABLE,2)</f>
        <v>0.08</v>
      </c>
      <c r="L7" s="65">
        <f>IF(AND(EPMCD&gt;GROSS,TIER&lt;&gt;2),0,IF(TIER=1,(GROSS-EPMCD)*EPMC_,IF(AND(B4="S",TIER=2),GROSS*EPMC_,)))</f>
        <v>0</v>
      </c>
      <c r="O7" s="3">
        <v>2250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">
      <c r="A8" s="10" t="s">
        <v>20</v>
      </c>
      <c r="B8" s="62">
        <v>1</v>
      </c>
      <c r="C8" s="20" t="s">
        <v>21</v>
      </c>
      <c r="D8" s="8"/>
      <c r="E8" s="8"/>
      <c r="F8" s="8"/>
      <c r="G8" s="22"/>
      <c r="I8" s="2" t="s">
        <v>15</v>
      </c>
      <c r="J8" s="33">
        <f>IF(B4="M",L8,IF(B4="S",L7,IF(B4="B",L6)))</f>
        <v>318.96</v>
      </c>
      <c r="L8" s="65">
        <f>IF(EPMCD&gt;GROSS,0,(GROSS-EPMCD)*EPMC_)</f>
        <v>318.96</v>
      </c>
      <c r="M8" s="6"/>
      <c r="O8" s="3">
        <v>11525</v>
      </c>
      <c r="P8" s="3">
        <v>0.15</v>
      </c>
      <c r="Q8" s="3">
        <v>927.5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">
      <c r="A9" s="10" t="s">
        <v>25</v>
      </c>
      <c r="B9" s="18">
        <v>2</v>
      </c>
      <c r="C9" s="15" t="s">
        <v>26</v>
      </c>
      <c r="D9" s="8"/>
      <c r="E9" s="45">
        <f>IF(AND(CAT="SAF",OAC="YES"),"SAF - SS/MED must be NO or MED","")</f>
      </c>
      <c r="F9" s="8"/>
      <c r="G9" s="22"/>
      <c r="I9" s="2" t="s">
        <v>34</v>
      </c>
      <c r="J9" s="21">
        <f>GROSS+Flex_Cash-Total_Flex</f>
        <v>4500</v>
      </c>
      <c r="K9" s="5"/>
      <c r="M9" s="6"/>
      <c r="O9" s="3">
        <v>39900</v>
      </c>
      <c r="P9" s="3">
        <v>0.25</v>
      </c>
      <c r="Q9" s="3">
        <v>5183.75</v>
      </c>
    </row>
    <row r="10" spans="1:19" ht="15">
      <c r="A10" s="10" t="s">
        <v>32</v>
      </c>
      <c r="B10" s="18" t="s">
        <v>211</v>
      </c>
      <c r="C10" s="15" t="s">
        <v>526</v>
      </c>
      <c r="D10" s="8"/>
      <c r="E10" s="12" t="s">
        <v>7</v>
      </c>
      <c r="F10" s="10" t="s">
        <v>7</v>
      </c>
      <c r="G10" s="23" t="s">
        <v>7</v>
      </c>
      <c r="I10" s="2" t="s">
        <v>35</v>
      </c>
      <c r="J10" s="21">
        <f>GROSS+Flex_Cash-Total_Flex</f>
        <v>4500</v>
      </c>
      <c r="K10" s="3"/>
      <c r="M10" s="6"/>
      <c r="O10" s="3">
        <v>93400</v>
      </c>
      <c r="P10" s="3">
        <v>0.28</v>
      </c>
      <c r="Q10" s="3">
        <v>18558.75</v>
      </c>
      <c r="S10" s="2" t="s">
        <v>36</v>
      </c>
    </row>
    <row r="11" spans="1:22" ht="15">
      <c r="A11" s="10" t="s">
        <v>33</v>
      </c>
      <c r="B11" s="18">
        <v>1</v>
      </c>
      <c r="C11" s="15" t="s">
        <v>26</v>
      </c>
      <c r="D11" s="8"/>
      <c r="E11" s="12" t="s">
        <v>7</v>
      </c>
      <c r="F11" s="10" t="s">
        <v>7</v>
      </c>
      <c r="G11" s="23" t="s">
        <v>7</v>
      </c>
      <c r="I11" s="2" t="s">
        <v>218</v>
      </c>
      <c r="J11" s="39">
        <f>IF(SDI="Yes",SDIGRS*N2,0)</f>
        <v>0</v>
      </c>
      <c r="K11" s="5"/>
      <c r="M11" s="6"/>
      <c r="O11" s="3">
        <v>192400</v>
      </c>
      <c r="P11" s="34">
        <v>0.33</v>
      </c>
      <c r="Q11" s="3">
        <v>46278.75</v>
      </c>
      <c r="T11" s="2" t="s">
        <v>23</v>
      </c>
      <c r="V11" s="2" t="s">
        <v>24</v>
      </c>
    </row>
    <row r="12" spans="1:22" ht="15">
      <c r="A12" s="56"/>
      <c r="B12" s="55"/>
      <c r="C12" s="57"/>
      <c r="D12" s="8"/>
      <c r="E12" s="12" t="s">
        <v>7</v>
      </c>
      <c r="F12" s="10" t="s">
        <v>7</v>
      </c>
      <c r="G12" s="23" t="s">
        <v>7</v>
      </c>
      <c r="I12" s="2" t="s">
        <v>219</v>
      </c>
      <c r="J12" s="40">
        <f>GROSS+Flex_Cash-Total_Flex</f>
        <v>4500</v>
      </c>
      <c r="K12" s="5"/>
      <c r="O12" s="3">
        <v>415600</v>
      </c>
      <c r="P12" s="34">
        <v>0.35</v>
      </c>
      <c r="Q12" s="3">
        <v>119934.75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">
      <c r="A13" s="10" t="s">
        <v>217</v>
      </c>
      <c r="B13" s="18" t="s">
        <v>223</v>
      </c>
      <c r="C13" s="15" t="s">
        <v>216</v>
      </c>
      <c r="D13" s="8"/>
      <c r="E13" s="12"/>
      <c r="F13" s="10"/>
      <c r="G13" s="23"/>
      <c r="I13" s="2" t="s">
        <v>38</v>
      </c>
      <c r="J13" s="3">
        <f>(GROSS-Total_A_R_Deductions-EPMC+Flex_Cash-Total_Flex-DCA1)</f>
        <v>4181.04</v>
      </c>
      <c r="K13" s="5"/>
      <c r="O13" s="3">
        <v>417300</v>
      </c>
      <c r="P13" s="48">
        <v>0.0396</v>
      </c>
      <c r="Q13" s="3">
        <v>120529.75</v>
      </c>
      <c r="S13" s="4">
        <v>7400</v>
      </c>
      <c r="T13" s="4">
        <v>7900</v>
      </c>
      <c r="U13" s="4">
        <v>7900</v>
      </c>
      <c r="V13" s="4">
        <v>7900</v>
      </c>
    </row>
    <row r="14" spans="1:17" ht="15">
      <c r="A14" s="10" t="s">
        <v>37</v>
      </c>
      <c r="B14" s="19">
        <v>0</v>
      </c>
      <c r="C14" s="15" t="s">
        <v>213</v>
      </c>
      <c r="D14" s="8"/>
      <c r="E14" s="8"/>
      <c r="F14" s="8"/>
      <c r="G14" s="22"/>
      <c r="I14" s="2" t="s">
        <v>40</v>
      </c>
      <c r="J14" s="3">
        <f>(GROSS-Total_A_R_Deductions-EPMC+Flex_Cash-Total_Flex-DCA2)</f>
        <v>4081.04</v>
      </c>
      <c r="K14" s="5"/>
      <c r="O14" s="3"/>
      <c r="P14" s="3"/>
      <c r="Q14" s="3"/>
    </row>
    <row r="15" spans="1:19" ht="15">
      <c r="A15" s="10" t="s">
        <v>39</v>
      </c>
      <c r="B15" s="19">
        <v>0</v>
      </c>
      <c r="C15" s="15" t="s">
        <v>208</v>
      </c>
      <c r="D15" s="8"/>
      <c r="E15" s="8"/>
      <c r="F15" s="8"/>
      <c r="G15" s="22"/>
      <c r="I15" s="2" t="s">
        <v>43</v>
      </c>
      <c r="J15" s="3">
        <f>(GROSS-Total_A_R_Deductions-EPMC+Flex_Cash-Total_Flex-DCA3)</f>
        <v>3981.04</v>
      </c>
      <c r="K15" s="5"/>
      <c r="L15" s="49"/>
      <c r="M15" s="50"/>
      <c r="S15" s="2" t="s">
        <v>49</v>
      </c>
    </row>
    <row r="16" spans="1:21" ht="15">
      <c r="A16" s="10" t="s">
        <v>41</v>
      </c>
      <c r="B16" s="19">
        <v>0</v>
      </c>
      <c r="C16" s="15" t="s">
        <v>42</v>
      </c>
      <c r="D16" s="8"/>
      <c r="E16" s="8"/>
      <c r="F16" s="8"/>
      <c r="G16" s="22"/>
      <c r="I16" s="2" t="s">
        <v>45</v>
      </c>
      <c r="J16" s="3">
        <f>(GROSS-Total_A_R_Deductions-EPMC+Flex_Cash-Total_Flex-DCA4)</f>
        <v>3881.04</v>
      </c>
      <c r="K16" s="5"/>
      <c r="L16" s="49"/>
      <c r="M16" s="50"/>
      <c r="O16" s="2" t="s">
        <v>7</v>
      </c>
      <c r="P16" s="2" t="s">
        <v>48</v>
      </c>
      <c r="S16" s="2" t="s">
        <v>16</v>
      </c>
      <c r="T16" s="2" t="s">
        <v>17</v>
      </c>
      <c r="U16" s="2" t="s">
        <v>18</v>
      </c>
    </row>
    <row r="17" spans="1:21" ht="15.75" thickBot="1">
      <c r="A17" s="10" t="s">
        <v>44</v>
      </c>
      <c r="B17" s="19">
        <v>0</v>
      </c>
      <c r="C17" s="15" t="s">
        <v>208</v>
      </c>
      <c r="D17" s="8"/>
      <c r="E17" s="8"/>
      <c r="F17" s="8"/>
      <c r="G17" s="22"/>
      <c r="I17" s="2" t="s">
        <v>47</v>
      </c>
      <c r="J17" s="3">
        <f>(GROSS-Total_A_R_Deductions-EPMC+Flex_Cash-Total_Flex-DCA5)</f>
        <v>3781.04</v>
      </c>
      <c r="K17" s="5"/>
      <c r="L17" s="49"/>
      <c r="M17" s="51"/>
      <c r="O17" s="2" t="s">
        <v>16</v>
      </c>
      <c r="P17" s="2" t="s">
        <v>17</v>
      </c>
      <c r="Q17" s="2" t="s">
        <v>18</v>
      </c>
      <c r="S17" s="4">
        <v>0</v>
      </c>
      <c r="T17" s="41">
        <v>0.04</v>
      </c>
      <c r="U17" s="3">
        <v>0</v>
      </c>
    </row>
    <row r="18" spans="1:21" ht="15.75" thickBot="1">
      <c r="A18" s="14" t="s">
        <v>46</v>
      </c>
      <c r="B18" s="47">
        <v>0</v>
      </c>
      <c r="C18" s="30">
        <v>100</v>
      </c>
      <c r="D18" s="30">
        <v>200</v>
      </c>
      <c r="E18" s="30">
        <v>300</v>
      </c>
      <c r="F18" s="30">
        <v>400</v>
      </c>
      <c r="G18" s="30">
        <v>500</v>
      </c>
      <c r="I18" s="2" t="s">
        <v>51</v>
      </c>
      <c r="J18" s="3">
        <f>(GROSS-Total_A_R_Deductions-EPMC+Flex_Cash-Total_Flex-DCA6)</f>
        <v>3681.04</v>
      </c>
      <c r="K18" s="5"/>
      <c r="L18" s="49"/>
      <c r="M18" s="51"/>
      <c r="O18" s="3">
        <v>-999999</v>
      </c>
      <c r="P18" s="3">
        <v>0</v>
      </c>
      <c r="Q18" s="3">
        <v>0</v>
      </c>
      <c r="S18" s="4">
        <v>8450</v>
      </c>
      <c r="T18" s="41">
        <v>0.045</v>
      </c>
      <c r="U18" s="3">
        <v>338</v>
      </c>
    </row>
    <row r="19" spans="1:21" ht="15">
      <c r="A19" s="13" t="s">
        <v>50</v>
      </c>
      <c r="B19" s="25">
        <f>(GROSS-EPMC-OASDI-MED+Flex_Cash-Total_Flex-VOLDEDS-DCA1-FTAX1-STAX1-B16-SDI1)</f>
        <v>3643.02</v>
      </c>
      <c r="C19" s="26">
        <f>IF(DCA2&gt;0,(GROSS-EPMC-OASDI-MED+Flex_Cash-Total_Flex-VOLDEDS-DCA2-FTAX2-STAX2-B16-SDI1),"")</f>
        <v>3549.47</v>
      </c>
      <c r="D19" s="26">
        <f>IF(DCA3&gt;0,(GROSS-EPMC-OASDI-MED+Flex_Cash-Total_Flex-VOLDEDS-DCA3-FTAX3-STAX3-B16-SDI1),"")</f>
        <v>3455.92</v>
      </c>
      <c r="E19" s="26">
        <f>IF(DCA4&gt;0,(GROSS-EPMC-OASDI-MED+Flex_Cash-Total_Flex-VOLDEDS-DCA4-FTAX4-STAX4-B16-SDI1),"")</f>
        <v>3362.37</v>
      </c>
      <c r="F19" s="26">
        <f>IF(DCA5&gt;0,(GROSS-EPMC-OASDI-MED+Flex_Cash-Total_Flex-VOLDEDS-DCA5-FTAX5-STAX5-B16-SDI1),"")</f>
        <v>3268.82</v>
      </c>
      <c r="G19" s="26">
        <f>IF(DCA6&gt;0,(GROSS-EPMC-OASDI-MED+Flex_Cash-Total_Flex-VOLDEDS-DCA6-FTAX6-STAX6-B16-SDI1),"")</f>
        <v>3175.27</v>
      </c>
      <c r="K19" s="5"/>
      <c r="L19" s="49"/>
      <c r="M19" s="51"/>
      <c r="O19" s="3">
        <v>8550</v>
      </c>
      <c r="P19" s="3">
        <v>0.1</v>
      </c>
      <c r="Q19" s="3">
        <v>0</v>
      </c>
      <c r="S19" s="4">
        <v>11650</v>
      </c>
      <c r="T19" s="41">
        <v>0.0525</v>
      </c>
      <c r="U19" s="3">
        <v>482</v>
      </c>
    </row>
    <row r="20" spans="1:21" ht="15">
      <c r="A20" s="10" t="s">
        <v>52</v>
      </c>
      <c r="B20" s="27"/>
      <c r="C20" s="28">
        <f>IF(DCA2&gt;0,($B$19-C19),"")</f>
        <v>93.55000000000018</v>
      </c>
      <c r="D20" s="28">
        <f>IF(DCA3&gt;0,($B$19-D19),"")</f>
        <v>187.0999999999999</v>
      </c>
      <c r="E20" s="28">
        <f>IF(DCA4&gt;0,($B$19-E19),"")</f>
        <v>280.6500000000001</v>
      </c>
      <c r="F20" s="28">
        <f>IF(DCA5&gt;0,($B$19-F19),"")</f>
        <v>374.1999999999998</v>
      </c>
      <c r="G20" s="28">
        <f>IF(DCA6&gt;0,($B$19-G19),"")</f>
        <v>467.75</v>
      </c>
      <c r="I20" s="2" t="s">
        <v>54</v>
      </c>
      <c r="K20" s="5"/>
      <c r="L20" s="49"/>
      <c r="M20" s="51"/>
      <c r="O20" s="3">
        <v>27100</v>
      </c>
      <c r="P20" s="3">
        <v>0.15</v>
      </c>
      <c r="Q20" s="3">
        <v>1855</v>
      </c>
      <c r="S20" s="4">
        <v>13850</v>
      </c>
      <c r="T20" s="41">
        <v>0.059</v>
      </c>
      <c r="U20" s="3">
        <v>598</v>
      </c>
    </row>
    <row r="21" spans="1:21" ht="15">
      <c r="A21" s="10" t="s">
        <v>53</v>
      </c>
      <c r="B21" s="28">
        <f>(FTAX1)</f>
        <v>0</v>
      </c>
      <c r="C21" s="28">
        <f>IF(DCA2&gt;0,FTAX2,"")</f>
        <v>0</v>
      </c>
      <c r="D21" s="28">
        <f>IF(DCA3&gt;0,FTAX3,"")</f>
        <v>0</v>
      </c>
      <c r="E21" s="28">
        <f>IF(DCA4&gt;0,FTAX4,"")</f>
        <v>0</v>
      </c>
      <c r="F21" s="28">
        <f>IF(DCA5&gt;0,FTAX5,"")</f>
        <v>0</v>
      </c>
      <c r="G21" s="28">
        <f>IF(DCA6&gt;0,FTAX6,"")</f>
        <v>0</v>
      </c>
      <c r="I21" s="2" t="s">
        <v>56</v>
      </c>
      <c r="J21" s="3">
        <f>L21</f>
        <v>12</v>
      </c>
      <c r="K21" s="5"/>
      <c r="L21" s="49">
        <f>IF(B4="S",24,IF(B4="B",26,12))</f>
        <v>12</v>
      </c>
      <c r="M21" s="51"/>
      <c r="O21" s="3">
        <v>83850</v>
      </c>
      <c r="P21" s="3">
        <v>0.25</v>
      </c>
      <c r="Q21" s="3">
        <v>10367.5</v>
      </c>
      <c r="S21" s="4">
        <v>21300</v>
      </c>
      <c r="T21" s="41">
        <v>0.0645</v>
      </c>
      <c r="U21" s="3">
        <v>1037</v>
      </c>
    </row>
    <row r="22" spans="1:21" ht="15">
      <c r="A22" s="10" t="s">
        <v>55</v>
      </c>
      <c r="B22" s="28">
        <f>(STAX1)</f>
        <v>193.77</v>
      </c>
      <c r="C22" s="28">
        <f>IF(DCA2&gt;0,STAX2,"")</f>
        <v>187.32</v>
      </c>
      <c r="D22" s="28">
        <f>IF(DCA3&gt;0,STAX3,"")</f>
        <v>180.87</v>
      </c>
      <c r="E22" s="28">
        <f>IF(DCA4&gt;0,STAX4,"")</f>
        <v>174.42</v>
      </c>
      <c r="F22" s="28">
        <f>IF(DCA5&gt;0,STAX5,"")</f>
        <v>167.97</v>
      </c>
      <c r="G22" s="28">
        <f>IF(DCA6&gt;0,STAX6,"")</f>
        <v>161.52</v>
      </c>
      <c r="I22" s="2" t="s">
        <v>58</v>
      </c>
      <c r="J22" s="3">
        <f>(FEDE*FEDEXMPT)</f>
        <v>8100</v>
      </c>
      <c r="K22" s="5"/>
      <c r="L22" s="49"/>
      <c r="M22" s="51"/>
      <c r="O22" s="3">
        <v>160450</v>
      </c>
      <c r="P22" s="3">
        <v>0.28</v>
      </c>
      <c r="Q22" s="3">
        <v>29517.5</v>
      </c>
      <c r="S22" s="4">
        <v>80150</v>
      </c>
      <c r="T22" s="41">
        <v>0.0665</v>
      </c>
      <c r="U22" s="3">
        <v>4833</v>
      </c>
    </row>
    <row r="23" spans="1:21" ht="15">
      <c r="A23" s="10" t="s">
        <v>57</v>
      </c>
      <c r="B23" s="28">
        <f aca="true" t="shared" si="0" ref="B23:G23">EPMC</f>
        <v>318.96</v>
      </c>
      <c r="C23" s="28">
        <f t="shared" si="0"/>
        <v>318.96</v>
      </c>
      <c r="D23" s="28">
        <f t="shared" si="0"/>
        <v>318.96</v>
      </c>
      <c r="E23" s="28">
        <f t="shared" si="0"/>
        <v>318.96</v>
      </c>
      <c r="F23" s="28">
        <f t="shared" si="0"/>
        <v>318.96</v>
      </c>
      <c r="G23" s="28">
        <f t="shared" si="0"/>
        <v>318.96</v>
      </c>
      <c r="I23" s="2" t="s">
        <v>60</v>
      </c>
      <c r="K23" s="5"/>
      <c r="L23" s="49"/>
      <c r="M23" s="51"/>
      <c r="O23" s="3">
        <v>240000</v>
      </c>
      <c r="P23" s="3">
        <v>0.33</v>
      </c>
      <c r="Q23" s="3">
        <v>51791.5</v>
      </c>
      <c r="S23" s="4">
        <v>96200</v>
      </c>
      <c r="T23" s="41">
        <v>0.0758</v>
      </c>
      <c r="U23" s="3">
        <v>5900</v>
      </c>
    </row>
    <row r="24" spans="1:21" ht="15">
      <c r="A24" s="10" t="s">
        <v>59</v>
      </c>
      <c r="B24" s="28">
        <f aca="true" t="shared" si="1" ref="B24:G24">OASDI</f>
        <v>279</v>
      </c>
      <c r="C24" s="28">
        <f t="shared" si="1"/>
        <v>279</v>
      </c>
      <c r="D24" s="28">
        <f t="shared" si="1"/>
        <v>279</v>
      </c>
      <c r="E24" s="28">
        <f t="shared" si="1"/>
        <v>279</v>
      </c>
      <c r="F24" s="28">
        <f t="shared" si="1"/>
        <v>279</v>
      </c>
      <c r="G24" s="28">
        <f t="shared" si="1"/>
        <v>279</v>
      </c>
      <c r="I24" s="2" t="s">
        <v>62</v>
      </c>
      <c r="J24" s="3">
        <f>(PAYFACT*TG1)</f>
        <v>50172.479999999996</v>
      </c>
      <c r="K24" s="5"/>
      <c r="L24" s="49"/>
      <c r="M24" s="51"/>
      <c r="O24" s="3">
        <v>421900</v>
      </c>
      <c r="P24" s="34">
        <v>0.35</v>
      </c>
      <c r="Q24" s="3">
        <v>111818.5</v>
      </c>
      <c r="S24" s="4">
        <v>106950</v>
      </c>
      <c r="T24" s="41">
        <v>0.0808</v>
      </c>
      <c r="U24" s="3">
        <v>6715</v>
      </c>
    </row>
    <row r="25" spans="1:21" ht="15">
      <c r="A25" s="20" t="s">
        <v>61</v>
      </c>
      <c r="B25" s="28">
        <f aca="true" t="shared" si="2" ref="B25:G25">MED</f>
        <v>65.25</v>
      </c>
      <c r="C25" s="28">
        <f t="shared" si="2"/>
        <v>65.25</v>
      </c>
      <c r="D25" s="28">
        <f t="shared" si="2"/>
        <v>65.25</v>
      </c>
      <c r="E25" s="28">
        <f t="shared" si="2"/>
        <v>65.25</v>
      </c>
      <c r="F25" s="28">
        <f t="shared" si="2"/>
        <v>65.25</v>
      </c>
      <c r="G25" s="28">
        <f t="shared" si="2"/>
        <v>65.25</v>
      </c>
      <c r="I25" s="2" t="s">
        <v>64</v>
      </c>
      <c r="J25" s="3">
        <f>(PAYFACT*TG2)</f>
        <v>48972.479999999996</v>
      </c>
      <c r="K25" s="5"/>
      <c r="L25" s="49"/>
      <c r="M25" s="51"/>
      <c r="O25" s="3">
        <v>475500</v>
      </c>
      <c r="P25" s="48">
        <v>0.0396</v>
      </c>
      <c r="Q25" s="3">
        <v>130578.5</v>
      </c>
      <c r="S25" s="4">
        <v>160500</v>
      </c>
      <c r="T25" s="41">
        <v>0.0715</v>
      </c>
      <c r="U25" s="3">
        <v>11042</v>
      </c>
    </row>
    <row r="26" spans="1:21" ht="15">
      <c r="A26" s="10" t="s">
        <v>220</v>
      </c>
      <c r="B26" s="28">
        <f aca="true" t="shared" si="3" ref="B26:G26">SDI1</f>
        <v>0</v>
      </c>
      <c r="C26" s="28">
        <f t="shared" si="3"/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I26" s="2" t="s">
        <v>66</v>
      </c>
      <c r="J26" s="3">
        <f>(PAYFACT*TG3)</f>
        <v>47772.479999999996</v>
      </c>
      <c r="K26" s="5"/>
      <c r="L26" s="59">
        <f>IF(B4="B",(GROSS-(EPMCD*12/26))*EPMC_,IF(AND(B4="S",TIER=2),GROSS*EPMC_,(GROSS-EPMCD)*EPMC_))</f>
        <v>318.96</v>
      </c>
      <c r="M26" s="51"/>
      <c r="O26" s="3"/>
      <c r="P26" s="3"/>
      <c r="Q26" s="3"/>
      <c r="S26" s="4">
        <v>214000</v>
      </c>
      <c r="T26" s="41">
        <v>0.0815</v>
      </c>
      <c r="U26" s="3">
        <v>14867</v>
      </c>
    </row>
    <row r="27" spans="1:21" ht="15">
      <c r="A27" s="10" t="s">
        <v>63</v>
      </c>
      <c r="B27" s="28">
        <f>J13</f>
        <v>4181.04</v>
      </c>
      <c r="C27" s="28">
        <f>J14</f>
        <v>4081.04</v>
      </c>
      <c r="D27" s="28">
        <f>J15</f>
        <v>3981.04</v>
      </c>
      <c r="E27" s="28">
        <f>J16</f>
        <v>3881.04</v>
      </c>
      <c r="F27" s="28">
        <f>J17</f>
        <v>3781.04</v>
      </c>
      <c r="G27" s="28">
        <f>J18</f>
        <v>3681.04</v>
      </c>
      <c r="I27" s="2" t="s">
        <v>68</v>
      </c>
      <c r="J27" s="3">
        <f>(PAYFACT*TG4)</f>
        <v>46572.479999999996</v>
      </c>
      <c r="K27" s="5"/>
      <c r="L27" s="49"/>
      <c r="M27" s="51"/>
      <c r="S27" s="4">
        <v>267500</v>
      </c>
      <c r="T27" s="41">
        <v>0.0735</v>
      </c>
      <c r="U27" s="3">
        <v>19227</v>
      </c>
    </row>
    <row r="28" spans="1:21" ht="15">
      <c r="A28" s="20" t="s">
        <v>65</v>
      </c>
      <c r="B28" s="28">
        <f>J13</f>
        <v>4181.04</v>
      </c>
      <c r="C28" s="28">
        <f>J14</f>
        <v>4081.04</v>
      </c>
      <c r="D28" s="28">
        <f>J15</f>
        <v>3981.04</v>
      </c>
      <c r="E28" s="28">
        <f>J16</f>
        <v>3881.04</v>
      </c>
      <c r="F28" s="28">
        <f>J17</f>
        <v>3781.04</v>
      </c>
      <c r="G28" s="28">
        <f>J18</f>
        <v>3681.04</v>
      </c>
      <c r="I28" s="2" t="s">
        <v>70</v>
      </c>
      <c r="J28" s="3">
        <f>(PAYFACT*TG5)</f>
        <v>45372.479999999996</v>
      </c>
      <c r="K28" s="5"/>
      <c r="L28" t="s">
        <v>229</v>
      </c>
      <c r="M28" t="s">
        <v>230</v>
      </c>
      <c r="N28" t="s">
        <v>231</v>
      </c>
      <c r="O28" t="s">
        <v>232</v>
      </c>
      <c r="S28" s="4">
        <v>1070350</v>
      </c>
      <c r="T28" s="41">
        <v>0.4902</v>
      </c>
      <c r="U28" s="3">
        <v>78237</v>
      </c>
    </row>
    <row r="29" spans="1:19" ht="15">
      <c r="A29" s="10" t="s">
        <v>67</v>
      </c>
      <c r="B29" s="28">
        <f aca="true" t="shared" si="4" ref="B29:G29">$J$9</f>
        <v>4500</v>
      </c>
      <c r="C29" s="28">
        <f t="shared" si="4"/>
        <v>4500</v>
      </c>
      <c r="D29" s="28">
        <f t="shared" si="4"/>
        <v>4500</v>
      </c>
      <c r="E29" s="28">
        <f t="shared" si="4"/>
        <v>4500</v>
      </c>
      <c r="F29" s="28">
        <f t="shared" si="4"/>
        <v>4500</v>
      </c>
      <c r="G29" s="28">
        <f t="shared" si="4"/>
        <v>4500</v>
      </c>
      <c r="I29" s="2" t="s">
        <v>71</v>
      </c>
      <c r="J29" s="3">
        <f>(PAYFACT*TG6)</f>
        <v>44172.479999999996</v>
      </c>
      <c r="K29" s="5"/>
      <c r="L29" t="s">
        <v>312</v>
      </c>
      <c r="M29" s="52">
        <v>0.06</v>
      </c>
      <c r="N29" s="54">
        <v>317</v>
      </c>
      <c r="O29" t="s">
        <v>223</v>
      </c>
      <c r="S29" s="2" t="s">
        <v>74</v>
      </c>
    </row>
    <row r="30" spans="1:21" ht="15.75" thickBot="1">
      <c r="A30" s="14" t="s">
        <v>69</v>
      </c>
      <c r="B30" s="29">
        <f aca="true" t="shared" si="5" ref="B30:G30">$J$10</f>
        <v>4500</v>
      </c>
      <c r="C30" s="29">
        <f t="shared" si="5"/>
        <v>4500</v>
      </c>
      <c r="D30" s="29">
        <f t="shared" si="5"/>
        <v>4500</v>
      </c>
      <c r="E30" s="29">
        <f t="shared" si="5"/>
        <v>4500</v>
      </c>
      <c r="F30" s="29">
        <f t="shared" si="5"/>
        <v>4500</v>
      </c>
      <c r="G30" s="29">
        <f t="shared" si="5"/>
        <v>4500</v>
      </c>
      <c r="K30" s="5"/>
      <c r="L30" t="s">
        <v>233</v>
      </c>
      <c r="M30" s="52">
        <v>0.0375</v>
      </c>
      <c r="N30" s="54">
        <v>0</v>
      </c>
      <c r="O30" t="s">
        <v>223</v>
      </c>
      <c r="S30" s="2" t="s">
        <v>16</v>
      </c>
      <c r="T30" s="2" t="s">
        <v>17</v>
      </c>
      <c r="U30" s="2" t="s">
        <v>18</v>
      </c>
    </row>
    <row r="31" spans="9:21" ht="14.25">
      <c r="I31" s="2" t="s">
        <v>73</v>
      </c>
      <c r="K31" s="3"/>
      <c r="L31" t="s">
        <v>234</v>
      </c>
      <c r="M31" s="52">
        <v>0</v>
      </c>
      <c r="N31" s="54">
        <v>0</v>
      </c>
      <c r="O31" t="s">
        <v>223</v>
      </c>
      <c r="S31" s="4">
        <v>0</v>
      </c>
      <c r="T31" s="41">
        <v>0.04</v>
      </c>
      <c r="U31" s="3">
        <v>0</v>
      </c>
    </row>
    <row r="32" spans="3:21" ht="14.25">
      <c r="C32" s="36" t="s">
        <v>72</v>
      </c>
      <c r="I32" s="2" t="s">
        <v>76</v>
      </c>
      <c r="J32" s="3">
        <f>(FAN1-FEDEXM)</f>
        <v>42072.479999999996</v>
      </c>
      <c r="K32" s="3"/>
      <c r="L32" t="s">
        <v>235</v>
      </c>
      <c r="M32" s="52">
        <v>0.0375</v>
      </c>
      <c r="N32" s="54">
        <v>0</v>
      </c>
      <c r="O32" t="s">
        <v>14</v>
      </c>
      <c r="S32" s="4">
        <v>8450</v>
      </c>
      <c r="T32" s="41">
        <v>0.045</v>
      </c>
      <c r="U32" s="3">
        <v>338</v>
      </c>
    </row>
    <row r="33" spans="9:21" ht="14.25">
      <c r="I33" s="2" t="s">
        <v>78</v>
      </c>
      <c r="J33" s="3">
        <f>(J25-FEDEXM)</f>
        <v>40872.479999999996</v>
      </c>
      <c r="K33" s="3"/>
      <c r="L33" t="s">
        <v>236</v>
      </c>
      <c r="M33" s="52">
        <v>0.0375</v>
      </c>
      <c r="N33" s="54">
        <v>0</v>
      </c>
      <c r="O33" t="s">
        <v>14</v>
      </c>
      <c r="S33" s="4">
        <v>11650</v>
      </c>
      <c r="T33" s="41">
        <v>0.0525</v>
      </c>
      <c r="U33" s="3">
        <v>482</v>
      </c>
    </row>
    <row r="34" spans="1:21" ht="14.25">
      <c r="A34" t="s">
        <v>75</v>
      </c>
      <c r="I34" s="2" t="s">
        <v>80</v>
      </c>
      <c r="J34" s="3">
        <f>(J26-FEDEXM)</f>
        <v>39672.479999999996</v>
      </c>
      <c r="K34" s="3"/>
      <c r="L34" t="s">
        <v>390</v>
      </c>
      <c r="M34" s="52">
        <v>0.095</v>
      </c>
      <c r="N34" s="54">
        <v>513</v>
      </c>
      <c r="O34" t="s">
        <v>14</v>
      </c>
      <c r="S34" s="4">
        <v>13850</v>
      </c>
      <c r="T34" s="41">
        <v>0.059</v>
      </c>
      <c r="U34" s="3">
        <v>598</v>
      </c>
    </row>
    <row r="35" spans="1:21" ht="14.25">
      <c r="A35" t="s">
        <v>77</v>
      </c>
      <c r="I35" s="2" t="s">
        <v>82</v>
      </c>
      <c r="J35" s="3">
        <f>(J27-FEDEXM)</f>
        <v>38472.479999999996</v>
      </c>
      <c r="K35" s="3"/>
      <c r="L35" t="s">
        <v>313</v>
      </c>
      <c r="M35" s="52">
        <v>0.0375</v>
      </c>
      <c r="N35" s="54">
        <v>317</v>
      </c>
      <c r="O35" t="s">
        <v>10</v>
      </c>
      <c r="S35" s="4">
        <v>21300</v>
      </c>
      <c r="T35" s="41">
        <v>0.0645</v>
      </c>
      <c r="U35" s="3">
        <v>1037</v>
      </c>
    </row>
    <row r="36" spans="1:21" ht="14.25">
      <c r="A36" t="s">
        <v>79</v>
      </c>
      <c r="C36" s="1"/>
      <c r="I36" s="2" t="s">
        <v>84</v>
      </c>
      <c r="J36" s="3">
        <f>(J28-FEDEXM)</f>
        <v>37272.479999999996</v>
      </c>
      <c r="K36" s="3"/>
      <c r="L36" t="s">
        <v>391</v>
      </c>
      <c r="M36" s="52">
        <v>0.125</v>
      </c>
      <c r="N36" s="54">
        <v>513</v>
      </c>
      <c r="O36" t="s">
        <v>14</v>
      </c>
      <c r="S36" s="4">
        <v>80150</v>
      </c>
      <c r="T36" s="41">
        <v>0.0665</v>
      </c>
      <c r="U36" s="3">
        <v>4833</v>
      </c>
    </row>
    <row r="37" spans="1:21" ht="14.25">
      <c r="A37" t="s">
        <v>81</v>
      </c>
      <c r="C37" s="1"/>
      <c r="I37" s="2" t="s">
        <v>86</v>
      </c>
      <c r="J37" s="3">
        <f>(J29-FEDEXM)</f>
        <v>36072.479999999996</v>
      </c>
      <c r="K37" s="3"/>
      <c r="L37" t="s">
        <v>392</v>
      </c>
      <c r="M37" s="52">
        <v>0.05</v>
      </c>
      <c r="N37" s="54">
        <v>513</v>
      </c>
      <c r="O37" t="s">
        <v>14</v>
      </c>
      <c r="S37" s="4">
        <v>96200</v>
      </c>
      <c r="T37" s="41">
        <v>0.0728</v>
      </c>
      <c r="U37" s="3">
        <v>5900</v>
      </c>
    </row>
    <row r="38" spans="1:21" ht="14.25">
      <c r="A38" t="s">
        <v>83</v>
      </c>
      <c r="K38" s="3"/>
      <c r="L38" t="s">
        <v>393</v>
      </c>
      <c r="M38" s="52">
        <v>0.08</v>
      </c>
      <c r="N38" s="54">
        <v>513</v>
      </c>
      <c r="O38" t="s">
        <v>14</v>
      </c>
      <c r="S38" s="4">
        <v>106950</v>
      </c>
      <c r="T38" s="41">
        <v>0.0778</v>
      </c>
      <c r="U38" s="3">
        <v>6683</v>
      </c>
    </row>
    <row r="39" spans="1:21" ht="14.25">
      <c r="A39" s="2" t="s">
        <v>85</v>
      </c>
      <c r="I39" s="2" t="s">
        <v>88</v>
      </c>
      <c r="K39" s="3"/>
      <c r="L39" t="s">
        <v>314</v>
      </c>
      <c r="M39" s="52">
        <v>0.06</v>
      </c>
      <c r="N39" s="54">
        <v>317</v>
      </c>
      <c r="O39" t="s">
        <v>223</v>
      </c>
      <c r="S39" s="4">
        <v>160500</v>
      </c>
      <c r="T39" s="41">
        <v>0.0808</v>
      </c>
      <c r="U39" s="3">
        <v>10849</v>
      </c>
    </row>
    <row r="40" spans="1:21" ht="14.25">
      <c r="A40" s="2" t="s">
        <v>87</v>
      </c>
      <c r="I40" s="2" t="s">
        <v>90</v>
      </c>
      <c r="J40" s="3">
        <f>IF(OR(FEDM="S",FEDM="H"),VLOOKUP(FTG1,FTXTBLSH,1),IF(FEDM="M",VLOOKUP(FTG1,FTXTBLM,1),0))</f>
        <v>0</v>
      </c>
      <c r="K40" s="3"/>
      <c r="L40" t="s">
        <v>315</v>
      </c>
      <c r="M40" s="52">
        <v>0.01</v>
      </c>
      <c r="N40" s="54">
        <v>317</v>
      </c>
      <c r="O40" t="s">
        <v>223</v>
      </c>
      <c r="S40" s="4">
        <v>214000</v>
      </c>
      <c r="T40" s="41">
        <v>0.0715</v>
      </c>
      <c r="U40" s="3">
        <v>15172</v>
      </c>
    </row>
    <row r="41" spans="1:21" ht="14.25">
      <c r="A41" s="2" t="s">
        <v>7</v>
      </c>
      <c r="C41" t="s">
        <v>7</v>
      </c>
      <c r="I41" s="2" t="s">
        <v>91</v>
      </c>
      <c r="J41" s="3">
        <f>IF(OR(FEDM="S",FEDM="H"),VLOOKUP(J33,FTXTBLSH,1),IF(FEDM="M",VLOOKUP(J33,FTXTBLM,1),0))</f>
        <v>0</v>
      </c>
      <c r="L41" t="s">
        <v>316</v>
      </c>
      <c r="M41" s="52">
        <v>0.06</v>
      </c>
      <c r="N41" s="54">
        <v>317</v>
      </c>
      <c r="O41" t="s">
        <v>10</v>
      </c>
      <c r="S41" s="4">
        <v>321050</v>
      </c>
      <c r="T41" s="41">
        <v>0.0815</v>
      </c>
      <c r="U41" s="3">
        <v>22826</v>
      </c>
    </row>
    <row r="42" spans="1:21" ht="14.25">
      <c r="A42" s="35" t="s">
        <v>89</v>
      </c>
      <c r="C42" t="s">
        <v>7</v>
      </c>
      <c r="I42" s="2" t="s">
        <v>92</v>
      </c>
      <c r="J42" s="3">
        <f>IF(OR(FEDM="S",FEDM="H"),VLOOKUP(J34,FTXTBLSH,1),IF(FEDM="M",VLOOKUP(J34,FTXTBLM,1),0))</f>
        <v>0</v>
      </c>
      <c r="L42" t="s">
        <v>237</v>
      </c>
      <c r="M42" s="52">
        <v>0.0375</v>
      </c>
      <c r="N42" s="54">
        <v>0</v>
      </c>
      <c r="O42" t="s">
        <v>10</v>
      </c>
      <c r="S42" s="4">
        <v>374600</v>
      </c>
      <c r="T42" s="41">
        <v>0.0735</v>
      </c>
      <c r="U42" s="3">
        <v>27190</v>
      </c>
    </row>
    <row r="43" spans="9:21" ht="14.25">
      <c r="I43" s="2" t="s">
        <v>94</v>
      </c>
      <c r="J43" s="3">
        <f>IF(OR(FEDM="S",FEDM="H"),VLOOKUP(J35,FTXTBLSH,1),IF(FEDM="M",VLOOKUP(J35,FTXTBLM,1),0))</f>
        <v>0</v>
      </c>
      <c r="K43" s="3"/>
      <c r="L43" t="s">
        <v>238</v>
      </c>
      <c r="M43" s="52">
        <v>0.0375</v>
      </c>
      <c r="N43" s="54">
        <v>0</v>
      </c>
      <c r="O43" t="s">
        <v>223</v>
      </c>
      <c r="S43" s="4">
        <v>1070350</v>
      </c>
      <c r="T43" s="41">
        <v>0.0765</v>
      </c>
      <c r="U43" s="3">
        <v>78328</v>
      </c>
    </row>
    <row r="44" spans="1:21" ht="14.25">
      <c r="A44" s="38" t="s">
        <v>199</v>
      </c>
      <c r="I44" s="2" t="s">
        <v>95</v>
      </c>
      <c r="J44" s="3">
        <f>IF(OR(FEDM="S",FEDM="H"),VLOOKUP(J36,FTXTBLSH,1),IF(FEDM="M",VLOOKUP(J36,FTXTBLM,1),0))</f>
        <v>0</v>
      </c>
      <c r="K44" s="3"/>
      <c r="L44" t="s">
        <v>282</v>
      </c>
      <c r="M44" s="52">
        <v>0.06</v>
      </c>
      <c r="N44" s="54">
        <v>238</v>
      </c>
      <c r="O44" t="s">
        <v>223</v>
      </c>
      <c r="S44" s="2"/>
      <c r="T44" s="2"/>
      <c r="U44" s="2"/>
    </row>
    <row r="45" spans="1:21" ht="14.25">
      <c r="A45" s="2" t="s">
        <v>93</v>
      </c>
      <c r="C45" t="s">
        <v>7</v>
      </c>
      <c r="I45" s="2" t="s">
        <v>96</v>
      </c>
      <c r="J45" s="3">
        <f>IF(OR(FEDM="S",FEDM="H"),VLOOKUP(J37,FTXTBLSH,1),IF(FEDM="M",VLOOKUP(J37,FTXTBLM,1),0))</f>
        <v>0</v>
      </c>
      <c r="L45" t="s">
        <v>283</v>
      </c>
      <c r="M45" s="52">
        <v>0.06</v>
      </c>
      <c r="N45" s="54">
        <v>238</v>
      </c>
      <c r="O45" t="s">
        <v>10</v>
      </c>
      <c r="S45" s="4"/>
      <c r="T45" s="41"/>
      <c r="U45" s="3"/>
    </row>
    <row r="46" spans="1:21" ht="14.25">
      <c r="A46" s="2"/>
      <c r="K46" s="3"/>
      <c r="L46" t="s">
        <v>317</v>
      </c>
      <c r="M46" s="52">
        <v>0.06</v>
      </c>
      <c r="N46" s="54">
        <v>317</v>
      </c>
      <c r="O46" t="s">
        <v>10</v>
      </c>
      <c r="S46" s="4"/>
      <c r="T46" s="41"/>
      <c r="U46" s="3"/>
    </row>
    <row r="47" spans="1:21" ht="14.25">
      <c r="A47" s="37" t="s">
        <v>520</v>
      </c>
      <c r="I47" s="2" t="s">
        <v>97</v>
      </c>
      <c r="K47" s="3"/>
      <c r="L47" t="s">
        <v>318</v>
      </c>
      <c r="M47" s="52">
        <v>0.06</v>
      </c>
      <c r="N47" s="54">
        <v>317</v>
      </c>
      <c r="O47" t="s">
        <v>223</v>
      </c>
      <c r="S47" s="4"/>
      <c r="T47" s="41"/>
      <c r="U47" s="3"/>
    </row>
    <row r="48" spans="1:21" ht="14.25">
      <c r="A48" s="2"/>
      <c r="I48" s="2" t="s">
        <v>98</v>
      </c>
      <c r="J48" s="3">
        <f>IF(OR(FEDM="S",FEDM="H"),VLOOKUP(FTG1,FTXTBLSH,2),IF(FEDM="M",VLOOKUP(FTG1,FTXTBLM,2),0))</f>
        <v>0</v>
      </c>
      <c r="K48" s="3"/>
      <c r="L48" t="s">
        <v>319</v>
      </c>
      <c r="M48" s="52">
        <v>0.11</v>
      </c>
      <c r="N48" s="54">
        <v>317</v>
      </c>
      <c r="O48" t="s">
        <v>10</v>
      </c>
      <c r="S48" s="4"/>
      <c r="T48" s="41"/>
      <c r="U48" s="3"/>
    </row>
    <row r="49" spans="1:21" ht="14.25">
      <c r="A49" s="37" t="s">
        <v>532</v>
      </c>
      <c r="I49" s="2" t="s">
        <v>99</v>
      </c>
      <c r="J49" s="3">
        <f>IF(OR(FEDM="S",FEDM="H"),VLOOKUP(J33,FTXTBLSH,2),IF(FEDM="M",VLOOKUP(J33,FTXTBLM,2),0))</f>
        <v>0</v>
      </c>
      <c r="K49" s="3"/>
      <c r="L49" t="s">
        <v>320</v>
      </c>
      <c r="M49" s="52">
        <v>0.07</v>
      </c>
      <c r="N49" s="54">
        <v>317</v>
      </c>
      <c r="O49" t="s">
        <v>223</v>
      </c>
      <c r="S49" s="4"/>
      <c r="T49" s="41"/>
      <c r="U49" s="3"/>
    </row>
    <row r="50" spans="1:21" ht="14.25">
      <c r="A50" s="2" t="s">
        <v>533</v>
      </c>
      <c r="I50" s="2" t="s">
        <v>100</v>
      </c>
      <c r="J50" s="3">
        <f>IF(OR(FEDM="S",FEDM="H"),VLOOKUP(J34,FTXTBLSH,2),IF(FEDM="M",VLOOKUP(J34,FTXTBLM,2),0))</f>
        <v>0</v>
      </c>
      <c r="K50" s="3"/>
      <c r="L50" t="s">
        <v>321</v>
      </c>
      <c r="M50" s="52">
        <v>0.11</v>
      </c>
      <c r="N50" s="54">
        <v>317</v>
      </c>
      <c r="O50" t="s">
        <v>223</v>
      </c>
      <c r="S50" s="4"/>
      <c r="T50" s="41"/>
      <c r="U50" s="3"/>
    </row>
    <row r="51" spans="1:21" ht="14.25">
      <c r="A51" s="58" t="s">
        <v>534</v>
      </c>
      <c r="I51" s="2" t="s">
        <v>101</v>
      </c>
      <c r="J51" s="3">
        <f>IF(OR(FEDM="S",FEDM="H"),VLOOKUP(J35,FTXTBLSH,2),IF(FEDM="M",VLOOKUP(J35,FTXTBLM,2),0))</f>
        <v>0</v>
      </c>
      <c r="K51" s="3"/>
      <c r="L51" t="s">
        <v>322</v>
      </c>
      <c r="M51" s="52">
        <v>0.11</v>
      </c>
      <c r="N51" s="54">
        <v>317</v>
      </c>
      <c r="O51" t="s">
        <v>10</v>
      </c>
      <c r="S51" s="4"/>
      <c r="T51" s="41"/>
      <c r="U51" s="3"/>
    </row>
    <row r="52" spans="1:21" ht="14.25">
      <c r="A52" s="58" t="s">
        <v>535</v>
      </c>
      <c r="I52" s="2" t="s">
        <v>102</v>
      </c>
      <c r="J52" s="3">
        <f>IF(OR(FEDM="S",FEDM="H"),VLOOKUP(J36,FTXTBLSH,2),IF(FEDM="M",VLOOKUP(J36,FTXTBLM,2),0))</f>
        <v>0</v>
      </c>
      <c r="L52" t="s">
        <v>323</v>
      </c>
      <c r="M52" s="52">
        <v>0.11</v>
      </c>
      <c r="N52" s="54">
        <v>317</v>
      </c>
      <c r="O52" t="s">
        <v>10</v>
      </c>
      <c r="S52" s="4"/>
      <c r="T52" s="41"/>
      <c r="U52" s="3"/>
    </row>
    <row r="53" spans="1:21" ht="14.25">
      <c r="A53" s="58" t="s">
        <v>536</v>
      </c>
      <c r="I53" s="2" t="s">
        <v>103</v>
      </c>
      <c r="J53" s="3">
        <f>IF(OR(FEDM="S",FEDM="H"),VLOOKUP(J37,FTXTBLSH,2),IF(FEDM="M",VLOOKUP(J37,FTXTBLM,2),0))</f>
        <v>0</v>
      </c>
      <c r="L53" t="s">
        <v>324</v>
      </c>
      <c r="M53" s="52">
        <v>0.11</v>
      </c>
      <c r="N53" s="54">
        <v>317</v>
      </c>
      <c r="O53" t="s">
        <v>223</v>
      </c>
      <c r="S53" s="4"/>
      <c r="T53" s="41"/>
      <c r="U53" s="3"/>
    </row>
    <row r="54" spans="1:21" ht="14.25">
      <c r="A54" s="58" t="s">
        <v>537</v>
      </c>
      <c r="K54" s="3"/>
      <c r="L54" t="s">
        <v>325</v>
      </c>
      <c r="M54" s="52">
        <v>0.11</v>
      </c>
      <c r="N54" s="54">
        <v>317</v>
      </c>
      <c r="O54" t="s">
        <v>10</v>
      </c>
      <c r="S54" s="4"/>
      <c r="T54" s="41"/>
      <c r="U54" s="3"/>
    </row>
    <row r="55" spans="1:21" ht="14.25">
      <c r="A55" s="58" t="s">
        <v>538</v>
      </c>
      <c r="I55" s="2" t="s">
        <v>104</v>
      </c>
      <c r="K55" s="3"/>
      <c r="L55" t="s">
        <v>326</v>
      </c>
      <c r="M55" s="52">
        <v>0.11</v>
      </c>
      <c r="N55" s="54">
        <v>317</v>
      </c>
      <c r="O55" t="s">
        <v>223</v>
      </c>
      <c r="S55" s="4"/>
      <c r="T55" s="41"/>
      <c r="U55" s="3"/>
    </row>
    <row r="56" spans="1:15" ht="14.25">
      <c r="A56" s="58" t="s">
        <v>539</v>
      </c>
      <c r="I56" s="2" t="s">
        <v>105</v>
      </c>
      <c r="J56" s="3">
        <f>IF(OR(FEDM="S",FEDM="H"),VLOOKUP(FTG1,FTXTBLSH,3),IF(FEDM="M",VLOOKUP(FTG1,FTXTBLM,3),0))</f>
        <v>0</v>
      </c>
      <c r="K56" s="3"/>
      <c r="L56" t="s">
        <v>327</v>
      </c>
      <c r="M56" s="52">
        <v>0.11</v>
      </c>
      <c r="N56" s="54">
        <v>317</v>
      </c>
      <c r="O56" t="s">
        <v>223</v>
      </c>
    </row>
    <row r="57" spans="1:19" ht="14.25">
      <c r="A57" s="58" t="s">
        <v>540</v>
      </c>
      <c r="I57" s="2" t="s">
        <v>106</v>
      </c>
      <c r="J57" s="3">
        <f>IF(OR(FEDM="S",FEDM="H"),VLOOKUP(J33,FTXTBLSH,3),IF(FEDM="M",VLOOKUP(J33,FTXTBLM,3),0))</f>
        <v>0</v>
      </c>
      <c r="K57" s="3"/>
      <c r="L57" t="s">
        <v>328</v>
      </c>
      <c r="M57" s="52">
        <v>0.11</v>
      </c>
      <c r="N57" s="54">
        <v>317</v>
      </c>
      <c r="O57" t="s">
        <v>10</v>
      </c>
      <c r="S57" s="2" t="s">
        <v>109</v>
      </c>
    </row>
    <row r="58" spans="1:20" ht="14.25">
      <c r="A58" s="58" t="s">
        <v>541</v>
      </c>
      <c r="C58" s="1"/>
      <c r="I58" s="2" t="s">
        <v>107</v>
      </c>
      <c r="J58" s="3">
        <f>IF(OR(FEDM="S",FEDM="H"),VLOOKUP(J34,FTXTBLSH,3),IF(FEDM="M",VLOOKUP(J34,FTXTBLM,3),0))</f>
        <v>0</v>
      </c>
      <c r="K58" s="3"/>
      <c r="L58" t="s">
        <v>329</v>
      </c>
      <c r="M58" s="52">
        <v>0.11</v>
      </c>
      <c r="N58" s="54">
        <v>317</v>
      </c>
      <c r="O58" t="s">
        <v>10</v>
      </c>
      <c r="S58" s="2" t="s">
        <v>111</v>
      </c>
      <c r="T58" s="2" t="s">
        <v>112</v>
      </c>
    </row>
    <row r="59" spans="9:23" ht="14.25">
      <c r="I59" s="2" t="s">
        <v>108</v>
      </c>
      <c r="J59" s="3">
        <f>IF(OR(FEDM="S",FEDM="H"),VLOOKUP(J35,FTXTBLSH,3),IF(FEDM="M",VLOOKUP(J35,FTXTBLM,3),0))</f>
        <v>0</v>
      </c>
      <c r="K59" s="3"/>
      <c r="L59" t="s">
        <v>330</v>
      </c>
      <c r="M59" s="52">
        <v>0.11</v>
      </c>
      <c r="N59" s="54">
        <v>317</v>
      </c>
      <c r="O59" t="s">
        <v>223</v>
      </c>
      <c r="S59" s="2" t="s">
        <v>114</v>
      </c>
      <c r="T59">
        <v>0</v>
      </c>
      <c r="U59">
        <v>1</v>
      </c>
      <c r="V59">
        <v>2</v>
      </c>
      <c r="W59" s="7" t="s">
        <v>115</v>
      </c>
    </row>
    <row r="60" spans="1:24" ht="14.25">
      <c r="A60" s="38" t="s">
        <v>521</v>
      </c>
      <c r="I60" s="2" t="s">
        <v>110</v>
      </c>
      <c r="J60" s="3">
        <f>IF(OR(FEDM="S",FEDM="H"),VLOOKUP(J36,FTXTBLSH,3),IF(FEDM="M",VLOOKUP(J36,FTXTBLM,3),0))</f>
        <v>0</v>
      </c>
      <c r="L60" t="s">
        <v>331</v>
      </c>
      <c r="M60" s="52">
        <v>0.09</v>
      </c>
      <c r="N60" s="54">
        <v>0</v>
      </c>
      <c r="O60" t="s">
        <v>10</v>
      </c>
      <c r="S60" s="2" t="s">
        <v>28</v>
      </c>
      <c r="T60">
        <v>0</v>
      </c>
      <c r="U60">
        <v>0</v>
      </c>
      <c r="V60">
        <v>0</v>
      </c>
      <c r="W60">
        <v>0</v>
      </c>
      <c r="X60" s="2" t="s">
        <v>116</v>
      </c>
    </row>
    <row r="61" spans="9:24" ht="14.25">
      <c r="I61" s="2" t="s">
        <v>113</v>
      </c>
      <c r="J61" s="3">
        <f>IF(OR(FEDM="S",FEDM="H"),VLOOKUP(J37,FTXTBLSH,3),IF(FEDM="M",VLOOKUP(J37,FTXTBLM,3),0))</f>
        <v>0</v>
      </c>
      <c r="L61" t="s">
        <v>332</v>
      </c>
      <c r="M61" s="52">
        <v>0.06</v>
      </c>
      <c r="N61" s="54">
        <v>317</v>
      </c>
      <c r="O61" t="s">
        <v>223</v>
      </c>
      <c r="S61" s="2" t="s">
        <v>118</v>
      </c>
      <c r="T61">
        <v>0</v>
      </c>
      <c r="U61">
        <v>0</v>
      </c>
      <c r="V61">
        <v>0</v>
      </c>
      <c r="W61">
        <v>0</v>
      </c>
      <c r="X61" s="2" t="s">
        <v>116</v>
      </c>
    </row>
    <row r="62" spans="1:15" ht="14.25">
      <c r="A62" s="38" t="s">
        <v>200</v>
      </c>
      <c r="K62" s="3"/>
      <c r="L62" t="s">
        <v>333</v>
      </c>
      <c r="M62" s="52">
        <v>0.11</v>
      </c>
      <c r="N62" s="54">
        <v>317</v>
      </c>
      <c r="O62" t="s">
        <v>10</v>
      </c>
    </row>
    <row r="63" spans="9:15" ht="14.25">
      <c r="I63" s="2" t="s">
        <v>117</v>
      </c>
      <c r="K63" s="3"/>
      <c r="L63" t="s">
        <v>334</v>
      </c>
      <c r="M63" s="52">
        <v>0.11</v>
      </c>
      <c r="N63" s="54">
        <v>317</v>
      </c>
      <c r="O63" t="s">
        <v>223</v>
      </c>
    </row>
    <row r="64" spans="1:15" ht="14.25">
      <c r="A64" s="38" t="s">
        <v>201</v>
      </c>
      <c r="I64" s="2" t="s">
        <v>119</v>
      </c>
      <c r="J64" s="3">
        <f>(FTG1-FBSA1)</f>
        <v>42072.479999999996</v>
      </c>
      <c r="K64" s="3"/>
      <c r="L64" t="s">
        <v>335</v>
      </c>
      <c r="M64" s="52">
        <v>0.11</v>
      </c>
      <c r="N64" s="54">
        <v>317</v>
      </c>
      <c r="O64" t="s">
        <v>223</v>
      </c>
    </row>
    <row r="65" spans="9:15" ht="14.25">
      <c r="I65" s="2" t="s">
        <v>120</v>
      </c>
      <c r="J65" s="3">
        <f>(J33-J41)</f>
        <v>40872.479999999996</v>
      </c>
      <c r="K65" s="3"/>
      <c r="L65" t="s">
        <v>336</v>
      </c>
      <c r="M65" s="52">
        <v>0.11</v>
      </c>
      <c r="N65" s="54">
        <v>317</v>
      </c>
      <c r="O65" t="s">
        <v>10</v>
      </c>
    </row>
    <row r="66" spans="1:15" ht="14.25">
      <c r="A66" s="38" t="s">
        <v>202</v>
      </c>
      <c r="I66" s="2" t="s">
        <v>121</v>
      </c>
      <c r="J66" s="3">
        <f>(J34-J42)</f>
        <v>39672.479999999996</v>
      </c>
      <c r="K66" s="3"/>
      <c r="L66" t="s">
        <v>337</v>
      </c>
      <c r="M66" s="52">
        <v>0.11</v>
      </c>
      <c r="N66" s="54">
        <v>317</v>
      </c>
      <c r="O66" t="s">
        <v>223</v>
      </c>
    </row>
    <row r="67" spans="9:15" ht="14.25">
      <c r="I67" s="2" t="s">
        <v>122</v>
      </c>
      <c r="J67" s="3">
        <f>(J35-J43)</f>
        <v>38472.479999999996</v>
      </c>
      <c r="K67" s="3"/>
      <c r="L67" t="s">
        <v>338</v>
      </c>
      <c r="M67" s="52">
        <v>0.06</v>
      </c>
      <c r="N67" s="54">
        <v>317</v>
      </c>
      <c r="O67" t="s">
        <v>10</v>
      </c>
    </row>
    <row r="68" spans="1:15" ht="14.25">
      <c r="A68" s="38" t="s">
        <v>225</v>
      </c>
      <c r="I68" s="2" t="s">
        <v>123</v>
      </c>
      <c r="J68" s="3">
        <f>(J36-J44)</f>
        <v>37272.479999999996</v>
      </c>
      <c r="L68" t="s">
        <v>339</v>
      </c>
      <c r="M68" s="52">
        <v>0.11</v>
      </c>
      <c r="N68" s="54">
        <v>317</v>
      </c>
      <c r="O68" t="s">
        <v>10</v>
      </c>
    </row>
    <row r="69" spans="9:15" ht="14.25">
      <c r="I69" s="2" t="s">
        <v>124</v>
      </c>
      <c r="J69" s="3">
        <f>(J37-J45)</f>
        <v>36072.479999999996</v>
      </c>
      <c r="L69" t="s">
        <v>340</v>
      </c>
      <c r="M69" s="52">
        <v>0.11</v>
      </c>
      <c r="N69" s="54">
        <v>317</v>
      </c>
      <c r="O69" t="s">
        <v>223</v>
      </c>
    </row>
    <row r="70" spans="1:15" ht="14.25">
      <c r="A70" s="38" t="s">
        <v>203</v>
      </c>
      <c r="K70" s="3"/>
      <c r="L70" t="s">
        <v>341</v>
      </c>
      <c r="M70" s="52">
        <v>0.11</v>
      </c>
      <c r="N70" s="54">
        <v>317</v>
      </c>
      <c r="O70" t="s">
        <v>10</v>
      </c>
    </row>
    <row r="71" spans="1:15" ht="14.25">
      <c r="A71" s="38"/>
      <c r="I71" s="2" t="s">
        <v>126</v>
      </c>
      <c r="K71" s="3"/>
      <c r="L71" t="s">
        <v>342</v>
      </c>
      <c r="M71" s="52">
        <v>0.135</v>
      </c>
      <c r="N71" s="54">
        <v>317</v>
      </c>
      <c r="O71" t="s">
        <v>223</v>
      </c>
    </row>
    <row r="72" spans="1:15" ht="14.25">
      <c r="A72" s="38" t="s">
        <v>222</v>
      </c>
      <c r="I72" s="2" t="s">
        <v>127</v>
      </c>
      <c r="J72" s="3">
        <f>(FBST1+ROUND(FOVR1*FMTR1,5))</f>
        <v>0</v>
      </c>
      <c r="K72" s="3"/>
      <c r="L72" t="s">
        <v>343</v>
      </c>
      <c r="M72" s="52">
        <v>0.11</v>
      </c>
      <c r="N72" s="54">
        <v>317</v>
      </c>
      <c r="O72" t="s">
        <v>10</v>
      </c>
    </row>
    <row r="73" spans="9:15" ht="14.25">
      <c r="I73" s="2" t="s">
        <v>129</v>
      </c>
      <c r="J73" s="3">
        <f>(J57+ROUND(J65*FMTR2,5))</f>
        <v>0</v>
      </c>
      <c r="K73" s="3"/>
      <c r="L73" t="s">
        <v>344</v>
      </c>
      <c r="M73" s="52">
        <v>0.1</v>
      </c>
      <c r="N73" s="54">
        <v>317</v>
      </c>
      <c r="O73" t="s">
        <v>10</v>
      </c>
    </row>
    <row r="74" spans="1:15" ht="14.25">
      <c r="A74" s="38" t="s">
        <v>214</v>
      </c>
      <c r="I74" s="2" t="s">
        <v>130</v>
      </c>
      <c r="J74" s="3">
        <f>(J58+ROUND(J66*FMTR3,5))</f>
        <v>0</v>
      </c>
      <c r="K74" s="3"/>
      <c r="L74" t="s">
        <v>239</v>
      </c>
      <c r="M74" s="52">
        <v>0</v>
      </c>
      <c r="N74" s="54">
        <v>0</v>
      </c>
      <c r="O74" t="s">
        <v>10</v>
      </c>
    </row>
    <row r="75" spans="1:15" ht="14.25">
      <c r="A75" t="s">
        <v>215</v>
      </c>
      <c r="I75" s="2" t="s">
        <v>131</v>
      </c>
      <c r="J75" s="3">
        <f>(J59+ROUND(J67*FMTR4,5))</f>
        <v>0</v>
      </c>
      <c r="K75" s="3"/>
      <c r="L75" t="s">
        <v>240</v>
      </c>
      <c r="M75" s="52">
        <v>0</v>
      </c>
      <c r="N75" s="54">
        <v>0</v>
      </c>
      <c r="O75" t="s">
        <v>10</v>
      </c>
    </row>
    <row r="76" spans="9:15" ht="14.25">
      <c r="I76" s="2" t="s">
        <v>132</v>
      </c>
      <c r="J76" s="3">
        <f>(J60+ROUND(J68*FMTR5,5))</f>
        <v>0</v>
      </c>
      <c r="L76" t="s">
        <v>345</v>
      </c>
      <c r="M76" s="52">
        <v>0.06</v>
      </c>
      <c r="N76" s="54">
        <v>317</v>
      </c>
      <c r="O76" t="s">
        <v>10</v>
      </c>
    </row>
    <row r="77" spans="1:15" ht="14.25">
      <c r="A77" s="38" t="s">
        <v>204</v>
      </c>
      <c r="I77" s="2" t="s">
        <v>133</v>
      </c>
      <c r="J77" s="3">
        <f>(J61+ROUND(J69*FMTR6,5))</f>
        <v>0</v>
      </c>
      <c r="L77" t="s">
        <v>394</v>
      </c>
      <c r="M77" s="52">
        <v>0.08</v>
      </c>
      <c r="N77" s="54">
        <v>513</v>
      </c>
      <c r="O77" t="s">
        <v>14</v>
      </c>
    </row>
    <row r="78" spans="1:15" ht="14.25">
      <c r="A78" t="s">
        <v>209</v>
      </c>
      <c r="K78" s="3"/>
      <c r="L78" t="s">
        <v>395</v>
      </c>
      <c r="M78" s="52">
        <v>0.1</v>
      </c>
      <c r="N78" s="54">
        <v>513</v>
      </c>
      <c r="O78" t="s">
        <v>14</v>
      </c>
    </row>
    <row r="79" spans="9:15" ht="14.25">
      <c r="I79" s="2" t="s">
        <v>135</v>
      </c>
      <c r="K79" s="3"/>
      <c r="L79" t="s">
        <v>396</v>
      </c>
      <c r="M79" s="52">
        <v>0.08</v>
      </c>
      <c r="N79" s="54">
        <v>513</v>
      </c>
      <c r="O79" t="s">
        <v>14</v>
      </c>
    </row>
    <row r="80" spans="1:15" ht="14.25">
      <c r="A80" s="38" t="s">
        <v>205</v>
      </c>
      <c r="I80" s="2" t="s">
        <v>136</v>
      </c>
      <c r="J80" s="3">
        <f>ROUND(FTA1/PAYFACT,2)</f>
        <v>0</v>
      </c>
      <c r="K80" s="3"/>
      <c r="L80" t="s">
        <v>346</v>
      </c>
      <c r="M80" s="52">
        <v>0.11</v>
      </c>
      <c r="N80" s="54">
        <v>317</v>
      </c>
      <c r="O80" t="s">
        <v>223</v>
      </c>
    </row>
    <row r="81" spans="1:15" ht="14.25">
      <c r="A81" t="s">
        <v>125</v>
      </c>
      <c r="I81" s="2" t="s">
        <v>137</v>
      </c>
      <c r="J81" s="3">
        <f>ROUND(J73/PAYFACT,2)</f>
        <v>0</v>
      </c>
      <c r="K81" s="3"/>
      <c r="L81" t="s">
        <v>347</v>
      </c>
      <c r="M81" s="52">
        <v>0.11</v>
      </c>
      <c r="N81" s="54">
        <v>317</v>
      </c>
      <c r="O81" t="s">
        <v>10</v>
      </c>
    </row>
    <row r="82" spans="1:15" ht="14.25">
      <c r="A82" t="s">
        <v>226</v>
      </c>
      <c r="I82" s="2" t="s">
        <v>138</v>
      </c>
      <c r="J82" s="3">
        <f>ROUND(J74/PAYFACT,2)</f>
        <v>0</v>
      </c>
      <c r="K82" s="3"/>
      <c r="L82" t="s">
        <v>397</v>
      </c>
      <c r="M82" s="52">
        <v>0.1</v>
      </c>
      <c r="N82" s="54">
        <v>513</v>
      </c>
      <c r="O82" t="s">
        <v>14</v>
      </c>
    </row>
    <row r="83" spans="1:15" ht="14.25">
      <c r="A83" t="s">
        <v>128</v>
      </c>
      <c r="I83" s="2" t="s">
        <v>139</v>
      </c>
      <c r="J83" s="3">
        <f>ROUND(J75/PAYFACT,2)</f>
        <v>0</v>
      </c>
      <c r="K83" s="3"/>
      <c r="L83" t="s">
        <v>398</v>
      </c>
      <c r="M83" s="52">
        <v>0.1</v>
      </c>
      <c r="N83" s="54">
        <v>513</v>
      </c>
      <c r="O83" t="s">
        <v>14</v>
      </c>
    </row>
    <row r="84" spans="9:15" ht="14.25">
      <c r="I84" s="2" t="s">
        <v>140</v>
      </c>
      <c r="J84" s="3">
        <f>ROUND(J76/PAYFACT,2)</f>
        <v>0</v>
      </c>
      <c r="L84" t="s">
        <v>399</v>
      </c>
      <c r="M84" s="52">
        <v>0.1</v>
      </c>
      <c r="N84" s="54">
        <v>513</v>
      </c>
      <c r="O84" t="s">
        <v>14</v>
      </c>
    </row>
    <row r="85" spans="1:15" ht="14.25">
      <c r="A85" s="38" t="s">
        <v>206</v>
      </c>
      <c r="I85" s="2" t="s">
        <v>141</v>
      </c>
      <c r="J85" s="3">
        <f>ROUND(J77/PAYFACT,2)</f>
        <v>0</v>
      </c>
      <c r="L85" t="s">
        <v>400</v>
      </c>
      <c r="M85" s="52">
        <v>0.1</v>
      </c>
      <c r="N85" s="54">
        <v>513</v>
      </c>
      <c r="O85" t="s">
        <v>14</v>
      </c>
    </row>
    <row r="86" spans="1:15" ht="14.25">
      <c r="A86" t="s">
        <v>212</v>
      </c>
      <c r="K86" s="3"/>
      <c r="L86" t="s">
        <v>401</v>
      </c>
      <c r="M86" s="52">
        <v>0.1</v>
      </c>
      <c r="N86" s="54">
        <v>513</v>
      </c>
      <c r="O86" t="s">
        <v>14</v>
      </c>
    </row>
    <row r="87" spans="9:15" ht="14.25">
      <c r="I87" s="2" t="s">
        <v>142</v>
      </c>
      <c r="K87" s="3"/>
      <c r="L87" t="s">
        <v>402</v>
      </c>
      <c r="M87" s="52">
        <v>0.1</v>
      </c>
      <c r="N87" s="54">
        <v>513</v>
      </c>
      <c r="O87" t="s">
        <v>14</v>
      </c>
    </row>
    <row r="88" spans="1:15" ht="14.25">
      <c r="A88" s="38" t="s">
        <v>207</v>
      </c>
      <c r="I88" s="2" t="s">
        <v>143</v>
      </c>
      <c r="J88" s="3">
        <f>IF(STM="S",LIES,IF(AND(STM="M",STE&lt;2),LIEM1,IF(AND(STM="M",STE&gt;=2),LIEM2,IF(STM="H",LIEH,99999))))</f>
        <v>13419</v>
      </c>
      <c r="K88" s="3"/>
      <c r="L88" t="s">
        <v>403</v>
      </c>
      <c r="M88" s="52">
        <v>0.08</v>
      </c>
      <c r="N88" s="54">
        <v>513</v>
      </c>
      <c r="O88" t="s">
        <v>14</v>
      </c>
    </row>
    <row r="89" spans="1:15" ht="14.25">
      <c r="A89" t="s">
        <v>134</v>
      </c>
      <c r="I89" s="2" t="s">
        <v>144</v>
      </c>
      <c r="J89" s="3">
        <f>(STE*SADDALL)</f>
        <v>1000</v>
      </c>
      <c r="K89" s="3"/>
      <c r="L89" t="s">
        <v>404</v>
      </c>
      <c r="M89" s="52">
        <v>0.1</v>
      </c>
      <c r="N89" s="54">
        <v>513</v>
      </c>
      <c r="O89" t="s">
        <v>14</v>
      </c>
    </row>
    <row r="90" spans="1:15" ht="14.25">
      <c r="A90" t="s">
        <v>227</v>
      </c>
      <c r="I90" s="2" t="s">
        <v>145</v>
      </c>
      <c r="J90" s="3">
        <f>IF(STM="S",SDS,IF(AND(STM="M",STE&lt;2),SDM1,IF(AND(STM="M",STE&gt;=2),SDM2,IF(STM="H",SDH,0))))</f>
        <v>7900</v>
      </c>
      <c r="K90" s="3"/>
      <c r="L90" t="s">
        <v>348</v>
      </c>
      <c r="M90" s="52">
        <v>0.09</v>
      </c>
      <c r="N90" s="54">
        <v>317</v>
      </c>
      <c r="O90" t="s">
        <v>223</v>
      </c>
    </row>
    <row r="91" spans="1:15" ht="14.25">
      <c r="A91" t="s">
        <v>210</v>
      </c>
      <c r="I91" s="2" t="s">
        <v>146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405</v>
      </c>
      <c r="M91" s="52">
        <v>0.1</v>
      </c>
      <c r="N91" s="54">
        <v>513</v>
      </c>
      <c r="O91" t="s">
        <v>14</v>
      </c>
    </row>
    <row r="92" spans="9:15" ht="14.25">
      <c r="I92" s="2" t="s">
        <v>147</v>
      </c>
      <c r="J92" s="3">
        <f>IF(STE&lt;3,0,STE-2)</f>
        <v>0</v>
      </c>
      <c r="L92" t="s">
        <v>406</v>
      </c>
      <c r="M92" s="52">
        <v>0.08</v>
      </c>
      <c r="N92" s="54">
        <v>513</v>
      </c>
      <c r="O92" t="s">
        <v>14</v>
      </c>
    </row>
    <row r="93" spans="9:15" ht="14.25">
      <c r="I93" s="2" t="s">
        <v>148</v>
      </c>
      <c r="J93" s="3">
        <f>IF(STM="S",TCRSR,TCRMR)</f>
        <v>0</v>
      </c>
      <c r="L93" t="s">
        <v>407</v>
      </c>
      <c r="M93" s="52">
        <v>0.06</v>
      </c>
      <c r="N93" s="54">
        <v>0</v>
      </c>
      <c r="O93" t="s">
        <v>14</v>
      </c>
    </row>
    <row r="94" spans="9:15" ht="14.25">
      <c r="I94" s="2" t="s">
        <v>149</v>
      </c>
      <c r="J94" s="3">
        <f>(TXCRB+(TXCROV2*TXCRR))</f>
        <v>0</v>
      </c>
      <c r="K94" s="3"/>
      <c r="L94" t="s">
        <v>408</v>
      </c>
      <c r="M94" s="52">
        <v>0.1</v>
      </c>
      <c r="N94" s="54">
        <v>513</v>
      </c>
      <c r="O94" t="s">
        <v>14</v>
      </c>
    </row>
    <row r="95" spans="9:15" ht="14.25">
      <c r="I95" s="2"/>
      <c r="J95" s="3"/>
      <c r="K95" s="3"/>
      <c r="L95" t="s">
        <v>409</v>
      </c>
      <c r="M95" s="52">
        <v>0.08</v>
      </c>
      <c r="N95" s="54">
        <v>513</v>
      </c>
      <c r="O95" t="s">
        <v>14</v>
      </c>
    </row>
    <row r="96" spans="9:15" ht="14.25">
      <c r="I96" s="2" t="s">
        <v>150</v>
      </c>
      <c r="K96" s="3"/>
      <c r="L96" t="s">
        <v>349</v>
      </c>
      <c r="M96" s="52">
        <v>0.1</v>
      </c>
      <c r="N96" s="54">
        <v>317</v>
      </c>
      <c r="O96" t="s">
        <v>223</v>
      </c>
    </row>
    <row r="97" spans="9:15" ht="14.25">
      <c r="I97" s="2" t="s">
        <v>151</v>
      </c>
      <c r="J97" s="3">
        <f>IF((PAYFACT*TG1)-ADDALLOW-SDED&lt;=0,0,(PAYFACT*TG1)-ADDALLOW-SDED)</f>
        <v>41272.479999999996</v>
      </c>
      <c r="K97" s="3"/>
      <c r="L97" t="s">
        <v>410</v>
      </c>
      <c r="M97" s="52">
        <v>0.08</v>
      </c>
      <c r="N97" s="54">
        <v>513</v>
      </c>
      <c r="O97" t="s">
        <v>14</v>
      </c>
    </row>
    <row r="98" spans="9:15" ht="14.25">
      <c r="I98" s="2" t="s">
        <v>152</v>
      </c>
      <c r="J98" s="3">
        <f>IF((PAYFACT*TG2)-ADDALLOW-SDED&lt;=0,0,(PAYFACT*TG2)-ADDALLOW-SDED)</f>
        <v>40072.479999999996</v>
      </c>
      <c r="K98" s="3"/>
      <c r="L98" t="s">
        <v>350</v>
      </c>
      <c r="M98" s="52">
        <v>0.09</v>
      </c>
      <c r="N98" s="54">
        <v>317</v>
      </c>
      <c r="O98" t="s">
        <v>223</v>
      </c>
    </row>
    <row r="99" spans="9:15" ht="14.25">
      <c r="I99" s="2" t="s">
        <v>153</v>
      </c>
      <c r="J99" s="3">
        <f>IF((PAYFACT*TG3)-ADDALLOW-SDED&lt;=0,0,(PAYFACT*TG3)-ADDALLOW-SDED)</f>
        <v>38872.479999999996</v>
      </c>
      <c r="K99" s="3"/>
      <c r="L99" t="s">
        <v>351</v>
      </c>
      <c r="M99" s="52">
        <v>0.09</v>
      </c>
      <c r="N99" s="54">
        <v>317</v>
      </c>
      <c r="O99" t="s">
        <v>10</v>
      </c>
    </row>
    <row r="100" spans="9:15" ht="14.25">
      <c r="I100" s="2" t="s">
        <v>154</v>
      </c>
      <c r="J100" s="3">
        <f>IF((PAYFACT*TG4)-ADDALLOW-SDED&lt;=0,0,(PAYFACT*TG4)-ADDALLOW-SDED)</f>
        <v>37672.479999999996</v>
      </c>
      <c r="L100" t="s">
        <v>352</v>
      </c>
      <c r="M100" s="52">
        <v>0.06</v>
      </c>
      <c r="N100" s="54">
        <v>317</v>
      </c>
      <c r="O100" t="s">
        <v>223</v>
      </c>
    </row>
    <row r="101" spans="9:15" ht="14.25">
      <c r="I101" s="2" t="s">
        <v>155</v>
      </c>
      <c r="J101" s="3">
        <f>IF((PAYFACT*TG5)-ADDALLOW-SDED&lt;=0,0,(PAYFACT*TG5)-ADDALLOW-SDED)</f>
        <v>36472.479999999996</v>
      </c>
      <c r="L101" t="s">
        <v>353</v>
      </c>
      <c r="M101" s="52">
        <v>0.09</v>
      </c>
      <c r="N101" s="54">
        <v>317</v>
      </c>
      <c r="O101" t="s">
        <v>10</v>
      </c>
    </row>
    <row r="102" spans="9:15" ht="14.25">
      <c r="I102" s="2" t="s">
        <v>156</v>
      </c>
      <c r="J102" s="3">
        <f>IF((PAYFACT*TG6)-ADDALLOW-SDED&lt;=0,0,(PAYFACT*TG6)-ADDALLOW-SDED)</f>
        <v>35272.479999999996</v>
      </c>
      <c r="K102" s="3"/>
      <c r="L102" t="s">
        <v>411</v>
      </c>
      <c r="M102" s="52">
        <v>0.09</v>
      </c>
      <c r="N102" s="54">
        <v>513</v>
      </c>
      <c r="O102" t="s">
        <v>14</v>
      </c>
    </row>
    <row r="103" spans="11:15" ht="14.25">
      <c r="K103" s="3"/>
      <c r="L103" t="s">
        <v>412</v>
      </c>
      <c r="M103" s="52">
        <v>0.05</v>
      </c>
      <c r="N103" s="54">
        <v>513</v>
      </c>
      <c r="O103" t="s">
        <v>14</v>
      </c>
    </row>
    <row r="104" spans="9:15" ht="14.25">
      <c r="I104" s="2" t="s">
        <v>157</v>
      </c>
      <c r="K104" s="3"/>
      <c r="L104" t="s">
        <v>413</v>
      </c>
      <c r="M104" s="52">
        <v>0.08</v>
      </c>
      <c r="N104" s="54">
        <v>513</v>
      </c>
      <c r="O104" t="s">
        <v>14</v>
      </c>
    </row>
    <row r="105" spans="9:15" ht="14.25">
      <c r="I105" s="2" t="s">
        <v>158</v>
      </c>
      <c r="J105" s="3">
        <f>IF(STM="S",VLOOKUP(STG1,STXTBLS,1),IF(STM="M",VLOOKUP(STG1,STXTBLM,1),IF(STM="H",VLOOKUP(STG1,STXTBLUH,1),0)))</f>
        <v>21300</v>
      </c>
      <c r="K105" s="3"/>
      <c r="L105" t="s">
        <v>414</v>
      </c>
      <c r="M105" s="52">
        <v>0.05</v>
      </c>
      <c r="N105" s="54">
        <v>513</v>
      </c>
      <c r="O105" t="s">
        <v>14</v>
      </c>
    </row>
    <row r="106" spans="9:15" ht="14.25">
      <c r="I106" s="2" t="s">
        <v>159</v>
      </c>
      <c r="J106" s="3">
        <f>IF(STM="S",VLOOKUP(J98,STXTBLS,1),IF(STM="M",VLOOKUP(J98,STXTBLM,1),IF(STM="H",VLOOKUP(J98,STXTBLUH,1),0)))</f>
        <v>21300</v>
      </c>
      <c r="K106" s="3"/>
      <c r="L106" t="s">
        <v>354</v>
      </c>
      <c r="M106" s="52">
        <v>0.11</v>
      </c>
      <c r="N106" s="54">
        <v>317</v>
      </c>
      <c r="O106" t="s">
        <v>223</v>
      </c>
    </row>
    <row r="107" spans="9:15" ht="14.25">
      <c r="I107" s="2" t="s">
        <v>160</v>
      </c>
      <c r="J107" s="3">
        <f>IF(STM="S",VLOOKUP(J99,STXTBLS,1),IF(STM="M",VLOOKUP(J99,STXTBLM,1),IF(STM="H",VLOOKUP(J99,STXTBLUH,1),0)))</f>
        <v>21300</v>
      </c>
      <c r="K107" s="3"/>
      <c r="L107" t="s">
        <v>284</v>
      </c>
      <c r="M107" s="52">
        <v>0.08</v>
      </c>
      <c r="N107" s="54">
        <v>238</v>
      </c>
      <c r="O107" t="s">
        <v>223</v>
      </c>
    </row>
    <row r="108" spans="9:15" ht="14.25">
      <c r="I108" s="2" t="s">
        <v>161</v>
      </c>
      <c r="J108" s="3">
        <f>IF(STM="S",VLOOKUP(J100,STXTBLS,1),IF(STM="M",VLOOKUP(J100,STXTBLM,1),IF(STM="H",VLOOKUP(J100,STXTBLUH,1),0)))</f>
        <v>21300</v>
      </c>
      <c r="L108" t="s">
        <v>285</v>
      </c>
      <c r="M108" s="52">
        <v>0.08</v>
      </c>
      <c r="N108" s="54">
        <v>238</v>
      </c>
      <c r="O108" t="s">
        <v>10</v>
      </c>
    </row>
    <row r="109" spans="9:15" ht="14.25">
      <c r="I109" s="2" t="s">
        <v>162</v>
      </c>
      <c r="J109" s="3">
        <f>IF(STM="S",VLOOKUP(J101,STXTBLS,1),IF(STM="M",VLOOKUP(J101,STXTBLM,1),IF(STM="H",VLOOKUP(J101,STXTBLUH,1),0)))</f>
        <v>21300</v>
      </c>
      <c r="L109" t="s">
        <v>355</v>
      </c>
      <c r="M109" s="52">
        <v>0.01</v>
      </c>
      <c r="N109" s="54">
        <v>317</v>
      </c>
      <c r="O109" t="s">
        <v>10</v>
      </c>
    </row>
    <row r="110" spans="9:15" ht="14.25">
      <c r="I110" s="2" t="s">
        <v>163</v>
      </c>
      <c r="J110" s="3">
        <f>IF(STM="S",VLOOKUP(J102,STXTBLS,1),IF(STM="M",VLOOKUP(J102,STXTBLM,1),IF(STM="H",VLOOKUP(J102,STXTBLUH,1),0)))</f>
        <v>21300</v>
      </c>
      <c r="L110" t="s">
        <v>286</v>
      </c>
      <c r="M110" s="52">
        <v>0.06</v>
      </c>
      <c r="N110" s="54">
        <v>238</v>
      </c>
      <c r="O110" t="s">
        <v>223</v>
      </c>
    </row>
    <row r="111" spans="12:15" ht="14.25">
      <c r="L111" t="s">
        <v>287</v>
      </c>
      <c r="M111" s="52">
        <v>0.13</v>
      </c>
      <c r="N111" s="54">
        <v>238</v>
      </c>
      <c r="O111" t="s">
        <v>10</v>
      </c>
    </row>
    <row r="112" spans="9:15" ht="14.25">
      <c r="I112" s="2" t="s">
        <v>164</v>
      </c>
      <c r="K112" s="3"/>
      <c r="L112" t="s">
        <v>500</v>
      </c>
      <c r="M112" s="52">
        <v>0.08</v>
      </c>
      <c r="N112" s="54">
        <v>863</v>
      </c>
      <c r="O112" t="s">
        <v>223</v>
      </c>
    </row>
    <row r="113" spans="9:15" ht="14.25">
      <c r="I113" s="2" t="s">
        <v>165</v>
      </c>
      <c r="J113" s="42">
        <f>IF(STM="S",VLOOKUP(STG1,STXTBLS,2),IF(STM="M",VLOOKUP(STG1,STXTBLM,2),IF(STM="H",VLOOKUP(STG1,STXTBLUH,2),0)))</f>
        <v>0.0645</v>
      </c>
      <c r="K113" s="3"/>
      <c r="L113" t="s">
        <v>288</v>
      </c>
      <c r="M113" s="52">
        <v>0.08</v>
      </c>
      <c r="N113" s="54">
        <v>238</v>
      </c>
      <c r="O113" t="s">
        <v>223</v>
      </c>
    </row>
    <row r="114" spans="9:15" ht="14.25">
      <c r="I114" s="2" t="s">
        <v>166</v>
      </c>
      <c r="J114" s="42">
        <f>IF(STM="S",VLOOKUP(J98,STXTBLS,2),IF(STM="M",VLOOKUP(J98,STXTBLM,2),IF(STM="H",VLOOKUP(J98,STXTBLUH,2),0)))</f>
        <v>0.0645</v>
      </c>
      <c r="K114" s="3"/>
      <c r="L114" t="s">
        <v>289</v>
      </c>
      <c r="M114" s="52">
        <v>0.13</v>
      </c>
      <c r="N114" s="54">
        <v>863</v>
      </c>
      <c r="O114" t="s">
        <v>223</v>
      </c>
    </row>
    <row r="115" spans="9:15" ht="14.25">
      <c r="I115" s="2" t="s">
        <v>167</v>
      </c>
      <c r="J115" s="42">
        <f>IF(STM="S",VLOOKUP(J99,STXTBLS,2),IF(STM="M",VLOOKUP(J99,STXTBLM,2),IF(STM="H",VLOOKUP(J99,STXTBLUH,2),0)))</f>
        <v>0.0645</v>
      </c>
      <c r="K115" s="3"/>
      <c r="L115" t="s">
        <v>290</v>
      </c>
      <c r="M115" s="52">
        <v>0.13</v>
      </c>
      <c r="N115" s="54">
        <v>863</v>
      </c>
      <c r="O115" t="s">
        <v>10</v>
      </c>
    </row>
    <row r="116" spans="9:15" ht="14.25">
      <c r="I116" s="2" t="s">
        <v>168</v>
      </c>
      <c r="J116" s="42">
        <f>IF(STM="S",VLOOKUP(J100,STXTBLS,2),IF(STM="M",VLOOKUP(J100,STXTBLM,2),IF(STM="H",VLOOKUP(J100,STXTBLUH,2),0)))</f>
        <v>0.0645</v>
      </c>
      <c r="K116" s="3"/>
      <c r="L116" t="s">
        <v>501</v>
      </c>
      <c r="M116" s="52">
        <v>0.13</v>
      </c>
      <c r="N116" s="54">
        <v>863</v>
      </c>
      <c r="O116" t="s">
        <v>223</v>
      </c>
    </row>
    <row r="117" spans="9:15" ht="14.25">
      <c r="I117" s="2" t="s">
        <v>169</v>
      </c>
      <c r="J117" s="42">
        <f>IF(STM="S",VLOOKUP(J101,STXTBLS,2),IF(STM="M",VLOOKUP(J101,STXTBLM,2),IF(STM="H",VLOOKUP(J101,STXTBLUH,2),0)))</f>
        <v>0.0645</v>
      </c>
      <c r="K117" s="3"/>
      <c r="L117" t="s">
        <v>502</v>
      </c>
      <c r="M117" s="52">
        <v>0.13</v>
      </c>
      <c r="N117" s="54">
        <v>863</v>
      </c>
      <c r="O117" t="s">
        <v>10</v>
      </c>
    </row>
    <row r="118" spans="9:15" ht="14.25">
      <c r="I118" s="2" t="s">
        <v>170</v>
      </c>
      <c r="J118" s="42">
        <f>IF(STM="S",VLOOKUP(J102,STXTBLS,2),IF(STM="M",VLOOKUP(J102,STXTBLM,2),IF(STM="H",VLOOKUP(J102,STXTBLUH,2),0)))</f>
        <v>0.0645</v>
      </c>
      <c r="K118" s="3"/>
      <c r="L118" t="s">
        <v>291</v>
      </c>
      <c r="M118" s="52">
        <v>0.13</v>
      </c>
      <c r="N118" s="54">
        <v>863</v>
      </c>
      <c r="O118" t="s">
        <v>223</v>
      </c>
    </row>
    <row r="119" spans="12:15" ht="14.25">
      <c r="L119" t="s">
        <v>292</v>
      </c>
      <c r="M119" s="52">
        <v>0.13</v>
      </c>
      <c r="N119" s="54">
        <v>863</v>
      </c>
      <c r="O119" t="s">
        <v>10</v>
      </c>
    </row>
    <row r="120" spans="9:15" ht="14.25">
      <c r="I120" s="2" t="s">
        <v>171</v>
      </c>
      <c r="K120" s="3"/>
      <c r="L120" t="s">
        <v>293</v>
      </c>
      <c r="M120" s="52">
        <v>0.11</v>
      </c>
      <c r="N120" s="54">
        <v>0</v>
      </c>
      <c r="O120" t="s">
        <v>223</v>
      </c>
    </row>
    <row r="121" spans="9:15" ht="14.25">
      <c r="I121" s="2" t="s">
        <v>172</v>
      </c>
      <c r="J121" s="3">
        <f>IF(STM="S",VLOOKUP(STG1,STXTBLS,3),IF(STM="M",VLOOKUP(STG1,STXTBLM,3),IF(STM="H",VLOOKUP(STG1,STXTBLUH,3),0)))</f>
        <v>1037</v>
      </c>
      <c r="K121" s="3"/>
      <c r="L121" t="s">
        <v>294</v>
      </c>
      <c r="M121" s="52">
        <v>0.11</v>
      </c>
      <c r="N121" s="54">
        <v>0</v>
      </c>
      <c r="O121" t="s">
        <v>10</v>
      </c>
    </row>
    <row r="122" spans="9:15" ht="14.25">
      <c r="I122" s="2" t="s">
        <v>173</v>
      </c>
      <c r="J122" s="3">
        <f>IF(STM="S",VLOOKUP(J98,STXTBLS,3),IF(STM="M",VLOOKUP(J98,STXTBLM,3),IF(STM="H",VLOOKUP(J98,STXTBLUH,3),0)))</f>
        <v>1037</v>
      </c>
      <c r="K122" s="3"/>
      <c r="L122" t="s">
        <v>415</v>
      </c>
      <c r="M122" s="52">
        <v>0.08</v>
      </c>
      <c r="N122" s="54">
        <v>513</v>
      </c>
      <c r="O122" t="s">
        <v>223</v>
      </c>
    </row>
    <row r="123" spans="9:15" ht="14.25">
      <c r="I123" s="2" t="s">
        <v>174</v>
      </c>
      <c r="J123" s="3">
        <f>IF(STM="S",VLOOKUP(J99,STXTBLS,3),IF(STM="M",VLOOKUP(J99,STXTBLM,3),IF(STM="H",VLOOKUP(J99,STXTBLUH,3),0)))</f>
        <v>1037</v>
      </c>
      <c r="K123" s="3"/>
      <c r="L123" t="s">
        <v>416</v>
      </c>
      <c r="M123" s="52">
        <v>0.08</v>
      </c>
      <c r="N123" s="54">
        <v>513</v>
      </c>
      <c r="O123" t="s">
        <v>10</v>
      </c>
    </row>
    <row r="124" spans="9:15" ht="14.25">
      <c r="I124" s="2" t="s">
        <v>175</v>
      </c>
      <c r="J124" s="3">
        <f>IF(STM="S",VLOOKUP(J100,STXTBLS,3),IF(STM="M",VLOOKUP(J100,STXTBLM,3),IF(STM="H",VLOOKUP(J100,STXTBLUH,3),0)))</f>
        <v>1037</v>
      </c>
      <c r="K124" s="3"/>
      <c r="L124" t="s">
        <v>503</v>
      </c>
      <c r="M124" s="52">
        <v>0.11</v>
      </c>
      <c r="N124" s="54">
        <v>863</v>
      </c>
      <c r="O124" t="s">
        <v>223</v>
      </c>
    </row>
    <row r="125" spans="9:15" ht="14.25">
      <c r="I125" s="2" t="s">
        <v>176</v>
      </c>
      <c r="J125" s="3">
        <f>IF(STM="S",VLOOKUP(J101,STXTBLS,3),IF(STM="M",VLOOKUP(J101,STXTBLM,3),IF(STM="H",VLOOKUP(J101,STXTBLUH,3),0)))</f>
        <v>1037</v>
      </c>
      <c r="K125" s="3"/>
      <c r="L125" t="s">
        <v>504</v>
      </c>
      <c r="M125" s="52">
        <v>0.13</v>
      </c>
      <c r="N125" s="54">
        <v>863</v>
      </c>
      <c r="O125" t="s">
        <v>10</v>
      </c>
    </row>
    <row r="126" spans="9:15" ht="14.25">
      <c r="I126" s="2" t="s">
        <v>177</v>
      </c>
      <c r="J126" s="3">
        <f>IF(STM="S",VLOOKUP(J102,STXTBLS,3),IF(STM="M",VLOOKUP(J102,STXTBLM,3),IF(STM="H",VLOOKUP(J102,STXTBLUH,3),0)))</f>
        <v>1037</v>
      </c>
      <c r="L126" t="s">
        <v>295</v>
      </c>
      <c r="M126" s="52">
        <v>0.08</v>
      </c>
      <c r="N126" s="54">
        <v>238</v>
      </c>
      <c r="O126" t="s">
        <v>223</v>
      </c>
    </row>
    <row r="127" spans="12:15" ht="14.25">
      <c r="L127" t="s">
        <v>296</v>
      </c>
      <c r="M127" s="52">
        <v>0.08</v>
      </c>
      <c r="N127" s="54">
        <v>238</v>
      </c>
      <c r="O127" t="s">
        <v>10</v>
      </c>
    </row>
    <row r="128" spans="9:15" ht="14.25">
      <c r="I128" s="2" t="s">
        <v>178</v>
      </c>
      <c r="K128" s="3"/>
      <c r="L128" t="s">
        <v>297</v>
      </c>
      <c r="M128" s="52">
        <v>0.08</v>
      </c>
      <c r="N128" s="54">
        <v>238</v>
      </c>
      <c r="O128" t="s">
        <v>223</v>
      </c>
    </row>
    <row r="129" spans="9:15" ht="14.25">
      <c r="I129" s="2" t="s">
        <v>179</v>
      </c>
      <c r="J129" s="3">
        <f>(STG1-SBSA1)</f>
        <v>19972.479999999996</v>
      </c>
      <c r="K129" s="3"/>
      <c r="L129" t="s">
        <v>298</v>
      </c>
      <c r="M129" s="52">
        <v>0.08</v>
      </c>
      <c r="N129" s="54">
        <v>238</v>
      </c>
      <c r="O129" t="s">
        <v>10</v>
      </c>
    </row>
    <row r="130" spans="9:15" ht="14.25">
      <c r="I130" s="2" t="s">
        <v>180</v>
      </c>
      <c r="J130" s="3">
        <f>(J98-J106)</f>
        <v>18772.479999999996</v>
      </c>
      <c r="K130" s="3"/>
      <c r="L130" t="s">
        <v>505</v>
      </c>
      <c r="M130" s="52">
        <v>0.13</v>
      </c>
      <c r="N130" s="54">
        <v>863</v>
      </c>
      <c r="O130" t="s">
        <v>223</v>
      </c>
    </row>
    <row r="131" spans="9:15" ht="14.25">
      <c r="I131" s="2" t="s">
        <v>181</v>
      </c>
      <c r="J131" s="3">
        <f>(J99-J107)</f>
        <v>17572.479999999996</v>
      </c>
      <c r="K131" s="3"/>
      <c r="L131" t="s">
        <v>506</v>
      </c>
      <c r="M131" s="52">
        <v>0.13</v>
      </c>
      <c r="N131" s="54">
        <v>863</v>
      </c>
      <c r="O131" t="s">
        <v>10</v>
      </c>
    </row>
    <row r="132" spans="9:15" ht="14.25">
      <c r="I132" s="2" t="s">
        <v>182</v>
      </c>
      <c r="J132" s="3">
        <f>(J100-J108)</f>
        <v>16372.479999999996</v>
      </c>
      <c r="K132" s="3"/>
      <c r="L132" t="s">
        <v>507</v>
      </c>
      <c r="M132" s="52">
        <v>0.125</v>
      </c>
      <c r="N132" s="54">
        <v>863</v>
      </c>
      <c r="O132" t="s">
        <v>223</v>
      </c>
    </row>
    <row r="133" spans="9:15" ht="14.25">
      <c r="I133" s="2" t="s">
        <v>183</v>
      </c>
      <c r="J133" s="3">
        <f>(J101-J109)</f>
        <v>15172.479999999996</v>
      </c>
      <c r="K133" s="3"/>
      <c r="L133" t="s">
        <v>508</v>
      </c>
      <c r="M133" s="52">
        <v>0.13</v>
      </c>
      <c r="N133" s="54">
        <v>863</v>
      </c>
      <c r="O133" t="s">
        <v>10</v>
      </c>
    </row>
    <row r="134" spans="9:15" ht="14.25">
      <c r="I134" s="2" t="s">
        <v>184</v>
      </c>
      <c r="J134" s="3">
        <f>(J102-J110)</f>
        <v>13972.479999999996</v>
      </c>
      <c r="L134" t="s">
        <v>299</v>
      </c>
      <c r="M134" s="52">
        <v>0.11</v>
      </c>
      <c r="N134" s="54">
        <v>0</v>
      </c>
      <c r="O134" t="s">
        <v>223</v>
      </c>
    </row>
    <row r="135" spans="12:15" ht="14.25">
      <c r="L135" t="s">
        <v>417</v>
      </c>
      <c r="M135" s="52">
        <v>0.1</v>
      </c>
      <c r="N135" s="54">
        <v>513</v>
      </c>
      <c r="O135" t="s">
        <v>223</v>
      </c>
    </row>
    <row r="136" spans="9:15" ht="14.25">
      <c r="I136" s="2" t="s">
        <v>185</v>
      </c>
      <c r="K136" s="3"/>
      <c r="L136" t="s">
        <v>418</v>
      </c>
      <c r="M136" s="52">
        <v>0.13</v>
      </c>
      <c r="N136" s="54">
        <v>513</v>
      </c>
      <c r="O136" t="s">
        <v>10</v>
      </c>
    </row>
    <row r="137" spans="9:15" ht="14.25">
      <c r="I137" s="2" t="s">
        <v>186</v>
      </c>
      <c r="J137" s="3">
        <f>(SBST1+ROUND(SOVR1*SMTR1,5))</f>
        <v>2325.22496</v>
      </c>
      <c r="K137" s="3"/>
      <c r="L137" t="s">
        <v>300</v>
      </c>
      <c r="M137" s="52">
        <v>0.11</v>
      </c>
      <c r="N137" s="54">
        <v>0</v>
      </c>
      <c r="O137" t="s">
        <v>10</v>
      </c>
    </row>
    <row r="138" spans="9:15" ht="14.25">
      <c r="I138" s="2" t="s">
        <v>187</v>
      </c>
      <c r="J138" s="3">
        <f>(J122+ROUND(J130*SMTR2,5))</f>
        <v>2247.82496</v>
      </c>
      <c r="K138" s="3"/>
      <c r="L138" t="s">
        <v>356</v>
      </c>
      <c r="M138" s="52">
        <v>0.09</v>
      </c>
      <c r="N138" s="54">
        <v>317</v>
      </c>
      <c r="O138" t="s">
        <v>223</v>
      </c>
    </row>
    <row r="139" spans="9:15" ht="14.25">
      <c r="I139" s="2" t="s">
        <v>188</v>
      </c>
      <c r="J139" s="3">
        <f>(J123+ROUND(J131*SMTR3,5))</f>
        <v>2170.4249600000003</v>
      </c>
      <c r="K139" s="3"/>
      <c r="L139" t="s">
        <v>241</v>
      </c>
      <c r="M139" s="52">
        <v>0.0375</v>
      </c>
      <c r="N139" s="54">
        <v>0</v>
      </c>
      <c r="O139" t="s">
        <v>14</v>
      </c>
    </row>
    <row r="140" spans="9:15" ht="14.25">
      <c r="I140" s="2" t="s">
        <v>189</v>
      </c>
      <c r="J140" s="3">
        <f>(J124+ROUND(J132*SMTR4,5))</f>
        <v>2093.0249599999997</v>
      </c>
      <c r="K140" s="3"/>
      <c r="L140" t="s">
        <v>357</v>
      </c>
      <c r="M140" s="52">
        <v>0.06</v>
      </c>
      <c r="N140" s="54">
        <v>317</v>
      </c>
      <c r="O140" t="s">
        <v>10</v>
      </c>
    </row>
    <row r="141" spans="9:15" ht="14.25">
      <c r="I141" s="2" t="s">
        <v>190</v>
      </c>
      <c r="J141" s="3">
        <f>(J125+ROUND(J133*SMTR5,5))</f>
        <v>2015.62496</v>
      </c>
      <c r="K141" s="3"/>
      <c r="L141" t="s">
        <v>419</v>
      </c>
      <c r="M141" s="52">
        <v>0.05</v>
      </c>
      <c r="N141" s="54">
        <v>513</v>
      </c>
      <c r="O141" t="s">
        <v>14</v>
      </c>
    </row>
    <row r="142" spans="9:15" ht="14.25">
      <c r="I142" s="2" t="s">
        <v>191</v>
      </c>
      <c r="J142" s="3">
        <f>(J126+ROUND(J134*SMTR6,5))</f>
        <v>1938.22496</v>
      </c>
      <c r="L142" t="s">
        <v>242</v>
      </c>
      <c r="M142" s="52">
        <v>0.0375</v>
      </c>
      <c r="N142" s="54">
        <v>0</v>
      </c>
      <c r="O142" t="s">
        <v>14</v>
      </c>
    </row>
    <row r="143" spans="12:15" ht="14.25">
      <c r="L143" t="s">
        <v>420</v>
      </c>
      <c r="M143" s="52">
        <v>0.08</v>
      </c>
      <c r="N143" s="54">
        <v>513</v>
      </c>
      <c r="O143" t="s">
        <v>14</v>
      </c>
    </row>
    <row r="144" spans="9:15" ht="14.25">
      <c r="I144" s="2" t="s">
        <v>192</v>
      </c>
      <c r="K144" s="3"/>
      <c r="L144" t="s">
        <v>358</v>
      </c>
      <c r="M144" s="52">
        <v>0.06</v>
      </c>
      <c r="N144" s="54">
        <v>317</v>
      </c>
      <c r="O144" t="s">
        <v>223</v>
      </c>
    </row>
    <row r="145" spans="9:15" ht="14.25">
      <c r="I145" s="2" t="s">
        <v>193</v>
      </c>
      <c r="J145" s="3">
        <f>IF(OR(TG1*PAYFACT&lt;=LIE,(STA1-TXCREDIT)/PAYFACT&lt;=0),0,IF(STA1-TXCREDIT/PAYFACT&gt;0,ROUND((STA1-TXCREDIT)/PAYFACT,2)))</f>
        <v>193.77</v>
      </c>
      <c r="K145" s="3"/>
      <c r="L145" t="s">
        <v>243</v>
      </c>
      <c r="M145" s="52">
        <v>0.0375</v>
      </c>
      <c r="N145" s="54">
        <v>0</v>
      </c>
      <c r="O145" t="s">
        <v>14</v>
      </c>
    </row>
    <row r="146" spans="9:15" ht="14.25">
      <c r="I146" s="2" t="s">
        <v>194</v>
      </c>
      <c r="J146" s="3">
        <f>IF(OR(TG2*PAYFACT&lt;=LIE,(J138-TXCREDIT)/PAYFACT&lt;=0),0,IF(J138-TXCREDIT/PAYFACT&gt;0,ROUND((J138-TXCREDIT)/PAYFACT,2)))</f>
        <v>187.32</v>
      </c>
      <c r="K146" s="3"/>
      <c r="L146" t="s">
        <v>359</v>
      </c>
      <c r="M146" s="52">
        <v>0.11</v>
      </c>
      <c r="N146" s="54">
        <v>317</v>
      </c>
      <c r="O146" t="s">
        <v>10</v>
      </c>
    </row>
    <row r="147" spans="9:15" ht="14.25">
      <c r="I147" s="2" t="s">
        <v>195</v>
      </c>
      <c r="J147" s="3">
        <f>IF(OR(TG3*PAYFACT&lt;=LIE,(J139-TXCREDIT)/PAYFACT&lt;=0),0,IF(J139-TXCREDIT/PAYFACT&gt;0,ROUND((J139-TXCREDIT)/PAYFACT,2)))</f>
        <v>180.87</v>
      </c>
      <c r="K147" s="3"/>
      <c r="L147" t="s">
        <v>421</v>
      </c>
      <c r="M147" s="52">
        <v>0.09</v>
      </c>
      <c r="N147" s="54">
        <v>513</v>
      </c>
      <c r="O147" t="s">
        <v>14</v>
      </c>
    </row>
    <row r="148" spans="9:15" ht="14.25">
      <c r="I148" s="2" t="s">
        <v>196</v>
      </c>
      <c r="J148" s="3">
        <f>IF(OR(TG4*PAYFACT&lt;=LIE,(J140-TXCREDIT)/PAYFACT&lt;=0),0,IF(J140-TXCREDIT/PAYFACT&gt;0,ROUND((J140-TXCREDIT)/PAYFACT,2)))</f>
        <v>174.42</v>
      </c>
      <c r="K148" s="3"/>
      <c r="L148" t="s">
        <v>422</v>
      </c>
      <c r="M148" s="52">
        <v>0.08</v>
      </c>
      <c r="N148" s="54">
        <v>513</v>
      </c>
      <c r="O148" t="s">
        <v>14</v>
      </c>
    </row>
    <row r="149" spans="9:15" ht="14.25">
      <c r="I149" s="2" t="s">
        <v>197</v>
      </c>
      <c r="J149" s="3">
        <f>IF(OR(TG5*PAYFACT&lt;=LIE,(J141-TXCREDIT)/PAYFACT&lt;=0),0,IF(J141-TXCREDIT/PAYFACT&gt;0,ROUND((J141-TXCREDIT)/PAYFACT,2)))</f>
        <v>167.97</v>
      </c>
      <c r="K149" s="3"/>
      <c r="L149" t="s">
        <v>423</v>
      </c>
      <c r="M149" s="52">
        <v>0.05</v>
      </c>
      <c r="N149" s="54">
        <v>513</v>
      </c>
      <c r="O149" t="s">
        <v>14</v>
      </c>
    </row>
    <row r="150" spans="9:15" ht="14.25">
      <c r="I150" s="2" t="s">
        <v>198</v>
      </c>
      <c r="J150" s="3">
        <f>IF(OR(TG6*PAYFACT&lt;=LIE,(J142-TXCREDIT)/PAYFACT&lt;=0),0,IF(J142-TXCREDIT/PAYFACT&gt;0,ROUND((J142-TXCREDIT)/PAYFACT,2)))</f>
        <v>161.52</v>
      </c>
      <c r="L150" t="s">
        <v>360</v>
      </c>
      <c r="M150" s="52">
        <v>0.06</v>
      </c>
      <c r="N150" s="54">
        <v>317</v>
      </c>
      <c r="O150" t="s">
        <v>223</v>
      </c>
    </row>
    <row r="151" spans="12:15" ht="14.25">
      <c r="L151" t="s">
        <v>244</v>
      </c>
      <c r="M151" s="52">
        <v>0.0375</v>
      </c>
      <c r="N151" s="54">
        <v>0</v>
      </c>
      <c r="O151" t="s">
        <v>14</v>
      </c>
    </row>
    <row r="152" spans="11:15" ht="14.25">
      <c r="K152" s="3"/>
      <c r="L152" t="s">
        <v>245</v>
      </c>
      <c r="M152" s="52">
        <v>0.0375</v>
      </c>
      <c r="N152" s="54">
        <v>0</v>
      </c>
      <c r="O152" t="s">
        <v>14</v>
      </c>
    </row>
    <row r="153" spans="11:15" ht="14.25">
      <c r="K153" s="3"/>
      <c r="L153" t="s">
        <v>246</v>
      </c>
      <c r="M153" s="52">
        <v>0.0375</v>
      </c>
      <c r="N153" s="54">
        <v>0</v>
      </c>
      <c r="O153" t="s">
        <v>14</v>
      </c>
    </row>
    <row r="154" spans="11:15" ht="14.25">
      <c r="K154" s="3"/>
      <c r="L154" t="s">
        <v>424</v>
      </c>
      <c r="M154" s="52">
        <v>0.09</v>
      </c>
      <c r="N154" s="54">
        <v>513</v>
      </c>
      <c r="O154" t="s">
        <v>14</v>
      </c>
    </row>
    <row r="155" spans="11:15" ht="14.25">
      <c r="K155" s="3"/>
      <c r="L155" t="s">
        <v>425</v>
      </c>
      <c r="M155" s="52">
        <v>0.09</v>
      </c>
      <c r="N155" s="54">
        <v>513</v>
      </c>
      <c r="O155" t="s">
        <v>14</v>
      </c>
    </row>
    <row r="156" spans="11:15" ht="14.25">
      <c r="K156" s="3"/>
      <c r="L156" t="s">
        <v>426</v>
      </c>
      <c r="M156" s="52">
        <v>0</v>
      </c>
      <c r="N156" s="54">
        <v>513</v>
      </c>
      <c r="O156" t="s">
        <v>14</v>
      </c>
    </row>
    <row r="157" spans="11:15" ht="14.25">
      <c r="K157" s="3"/>
      <c r="L157" t="s">
        <v>361</v>
      </c>
      <c r="M157" s="52">
        <v>0.07</v>
      </c>
      <c r="N157" s="54">
        <v>317</v>
      </c>
      <c r="O157" t="s">
        <v>223</v>
      </c>
    </row>
    <row r="158" spans="12:15" ht="14.25">
      <c r="L158" t="s">
        <v>427</v>
      </c>
      <c r="M158" s="52">
        <v>0.08</v>
      </c>
      <c r="N158" s="54">
        <v>513</v>
      </c>
      <c r="O158" t="s">
        <v>14</v>
      </c>
    </row>
    <row r="159" spans="12:15" ht="14.25">
      <c r="L159" t="s">
        <v>362</v>
      </c>
      <c r="M159" s="52">
        <v>0.11</v>
      </c>
      <c r="N159" s="54">
        <v>317</v>
      </c>
      <c r="O159" t="s">
        <v>223</v>
      </c>
    </row>
    <row r="160" spans="11:15" ht="14.25">
      <c r="K160" s="3"/>
      <c r="L160" t="s">
        <v>363</v>
      </c>
      <c r="M160" s="52">
        <v>0.11</v>
      </c>
      <c r="N160" s="54">
        <v>317</v>
      </c>
      <c r="O160" t="s">
        <v>10</v>
      </c>
    </row>
    <row r="161" spans="11:15" ht="14.25">
      <c r="K161" s="3"/>
      <c r="L161" t="s">
        <v>428</v>
      </c>
      <c r="M161" s="52">
        <v>0.05</v>
      </c>
      <c r="N161" s="54">
        <v>513</v>
      </c>
      <c r="O161" t="s">
        <v>14</v>
      </c>
    </row>
    <row r="162" spans="11:15" ht="14.25">
      <c r="K162" s="3"/>
      <c r="L162" t="s">
        <v>247</v>
      </c>
      <c r="M162" s="52">
        <v>0.0375</v>
      </c>
      <c r="N162" s="54">
        <v>0</v>
      </c>
      <c r="O162" t="s">
        <v>14</v>
      </c>
    </row>
    <row r="163" spans="11:15" ht="14.25">
      <c r="K163" s="3"/>
      <c r="L163" t="s">
        <v>248</v>
      </c>
      <c r="M163" s="52">
        <v>0.0375</v>
      </c>
      <c r="N163" s="54">
        <v>0</v>
      </c>
      <c r="O163" t="s">
        <v>14</v>
      </c>
    </row>
    <row r="164" spans="11:15" ht="14.25">
      <c r="K164" s="3"/>
      <c r="L164" t="s">
        <v>429</v>
      </c>
      <c r="M164" s="52">
        <v>0.1</v>
      </c>
      <c r="N164" s="54">
        <v>513</v>
      </c>
      <c r="O164" t="s">
        <v>14</v>
      </c>
    </row>
    <row r="165" spans="11:15" ht="14.25">
      <c r="K165" s="3"/>
      <c r="L165" t="s">
        <v>364</v>
      </c>
      <c r="M165" s="52">
        <v>0.06</v>
      </c>
      <c r="N165" s="54">
        <v>0</v>
      </c>
      <c r="O165" t="s">
        <v>223</v>
      </c>
    </row>
    <row r="166" spans="12:15" ht="14.25">
      <c r="L166" t="s">
        <v>430</v>
      </c>
      <c r="M166" s="52">
        <v>0.08</v>
      </c>
      <c r="N166" s="54">
        <v>513</v>
      </c>
      <c r="O166" t="s">
        <v>14</v>
      </c>
    </row>
    <row r="167" spans="12:15" ht="14.25">
      <c r="L167" t="s">
        <v>431</v>
      </c>
      <c r="M167" s="52">
        <v>0.1</v>
      </c>
      <c r="N167" s="54">
        <v>513</v>
      </c>
      <c r="O167" t="s">
        <v>14</v>
      </c>
    </row>
    <row r="168" spans="11:15" ht="14.25">
      <c r="K168" s="3"/>
      <c r="L168" t="s">
        <v>432</v>
      </c>
      <c r="M168" s="52">
        <v>0.1</v>
      </c>
      <c r="N168" s="54">
        <v>513</v>
      </c>
      <c r="O168" t="s">
        <v>14</v>
      </c>
    </row>
    <row r="169" spans="11:15" ht="14.25">
      <c r="K169" s="3"/>
      <c r="L169" t="s">
        <v>249</v>
      </c>
      <c r="M169" s="52">
        <v>0.0375</v>
      </c>
      <c r="N169" s="54">
        <v>0</v>
      </c>
      <c r="O169" t="s">
        <v>14</v>
      </c>
    </row>
    <row r="170" spans="11:15" ht="14.25">
      <c r="K170" s="3"/>
      <c r="L170" t="s">
        <v>250</v>
      </c>
      <c r="M170" s="52">
        <v>0</v>
      </c>
      <c r="N170" s="54">
        <v>0</v>
      </c>
      <c r="O170" t="s">
        <v>14</v>
      </c>
    </row>
    <row r="171" spans="11:15" ht="14.25">
      <c r="K171" s="3"/>
      <c r="L171" t="s">
        <v>301</v>
      </c>
      <c r="M171" s="52">
        <v>0.08</v>
      </c>
      <c r="N171" s="54">
        <v>238</v>
      </c>
      <c r="O171" t="s">
        <v>10</v>
      </c>
    </row>
    <row r="172" spans="11:15" ht="14.25">
      <c r="K172" s="3"/>
      <c r="L172" t="s">
        <v>302</v>
      </c>
      <c r="M172" s="52">
        <v>0</v>
      </c>
      <c r="N172" s="54">
        <v>238</v>
      </c>
      <c r="O172" t="s">
        <v>223</v>
      </c>
    </row>
    <row r="173" spans="11:15" ht="14.25">
      <c r="K173" s="3"/>
      <c r="L173" t="s">
        <v>303</v>
      </c>
      <c r="M173" s="52">
        <v>0</v>
      </c>
      <c r="N173" s="54">
        <v>238</v>
      </c>
      <c r="O173" t="s">
        <v>10</v>
      </c>
    </row>
    <row r="174" spans="12:15" ht="14.25">
      <c r="L174" t="s">
        <v>304</v>
      </c>
      <c r="M174" s="52">
        <v>0.08</v>
      </c>
      <c r="N174" s="54">
        <v>238</v>
      </c>
      <c r="O174" t="s">
        <v>223</v>
      </c>
    </row>
    <row r="175" spans="12:15" ht="14.25">
      <c r="L175" t="s">
        <v>305</v>
      </c>
      <c r="M175" s="52">
        <v>0.08</v>
      </c>
      <c r="N175" s="54">
        <v>238</v>
      </c>
      <c r="O175" t="s">
        <v>10</v>
      </c>
    </row>
    <row r="176" spans="12:15" ht="14.25">
      <c r="L176" t="s">
        <v>509</v>
      </c>
      <c r="M176" s="52">
        <v>0.13</v>
      </c>
      <c r="N176" s="54">
        <v>863</v>
      </c>
      <c r="O176" t="s">
        <v>223</v>
      </c>
    </row>
    <row r="177" spans="12:15" ht="14.25">
      <c r="L177" t="s">
        <v>510</v>
      </c>
      <c r="M177" s="52">
        <v>0.08</v>
      </c>
      <c r="N177" s="54">
        <v>863</v>
      </c>
      <c r="O177" t="s">
        <v>10</v>
      </c>
    </row>
    <row r="178" spans="12:15" ht="14.25">
      <c r="L178" t="s">
        <v>433</v>
      </c>
      <c r="M178" s="52">
        <v>0.08</v>
      </c>
      <c r="N178" s="54">
        <v>513</v>
      </c>
      <c r="O178" t="s">
        <v>223</v>
      </c>
    </row>
    <row r="179" spans="12:15" ht="14.25">
      <c r="L179" t="s">
        <v>434</v>
      </c>
      <c r="M179" s="52">
        <v>0.08</v>
      </c>
      <c r="N179" s="54">
        <v>513</v>
      </c>
      <c r="O179" t="s">
        <v>10</v>
      </c>
    </row>
    <row r="180" spans="12:15" ht="14.25">
      <c r="L180" t="s">
        <v>435</v>
      </c>
      <c r="M180" s="52">
        <v>0.06</v>
      </c>
      <c r="N180" s="54">
        <v>513</v>
      </c>
      <c r="O180" t="s">
        <v>223</v>
      </c>
    </row>
    <row r="181" spans="12:15" ht="14.25">
      <c r="L181" t="s">
        <v>436</v>
      </c>
      <c r="M181" s="52">
        <v>0.13</v>
      </c>
      <c r="N181" s="54">
        <v>863</v>
      </c>
      <c r="O181" t="s">
        <v>10</v>
      </c>
    </row>
    <row r="182" spans="12:15" ht="14.25">
      <c r="L182" t="s">
        <v>437</v>
      </c>
      <c r="M182" s="52">
        <v>0.13</v>
      </c>
      <c r="N182" s="54">
        <v>513</v>
      </c>
      <c r="O182" t="s">
        <v>223</v>
      </c>
    </row>
    <row r="183" spans="12:15" ht="14.25">
      <c r="L183" t="s">
        <v>438</v>
      </c>
      <c r="M183" s="52">
        <v>0.13</v>
      </c>
      <c r="N183" s="54">
        <v>513</v>
      </c>
      <c r="O183" t="s">
        <v>10</v>
      </c>
    </row>
    <row r="184" spans="12:15" ht="14.25">
      <c r="L184" t="s">
        <v>439</v>
      </c>
      <c r="M184" s="52">
        <v>0.13</v>
      </c>
      <c r="N184" s="54">
        <v>513</v>
      </c>
      <c r="O184" t="s">
        <v>223</v>
      </c>
    </row>
    <row r="185" spans="12:15" ht="14.25">
      <c r="L185" t="s">
        <v>440</v>
      </c>
      <c r="M185" s="52">
        <v>0.13</v>
      </c>
      <c r="N185" s="54">
        <v>513</v>
      </c>
      <c r="O185" t="s">
        <v>10</v>
      </c>
    </row>
    <row r="186" spans="12:15" ht="14.25">
      <c r="L186" t="s">
        <v>441</v>
      </c>
      <c r="M186" s="52">
        <v>0.13</v>
      </c>
      <c r="N186" s="54">
        <v>513</v>
      </c>
      <c r="O186" t="s">
        <v>223</v>
      </c>
    </row>
    <row r="187" spans="12:15" ht="14.25">
      <c r="L187" t="s">
        <v>442</v>
      </c>
      <c r="M187" s="52">
        <v>0.13</v>
      </c>
      <c r="N187" s="54">
        <v>513</v>
      </c>
      <c r="O187" t="s">
        <v>10</v>
      </c>
    </row>
    <row r="188" spans="12:15" ht="14.25">
      <c r="L188" t="s">
        <v>511</v>
      </c>
      <c r="M188" s="52">
        <v>0.13</v>
      </c>
      <c r="N188" s="54">
        <v>863</v>
      </c>
      <c r="O188" t="s">
        <v>223</v>
      </c>
    </row>
    <row r="189" spans="12:15" ht="14.25">
      <c r="L189" t="s">
        <v>512</v>
      </c>
      <c r="M189" s="52">
        <v>0.13</v>
      </c>
      <c r="N189" s="54">
        <v>863</v>
      </c>
      <c r="O189" t="s">
        <v>10</v>
      </c>
    </row>
    <row r="190" spans="12:15" ht="14.25">
      <c r="L190" t="s">
        <v>443</v>
      </c>
      <c r="M190" s="52">
        <v>0.06</v>
      </c>
      <c r="N190" s="54">
        <v>513</v>
      </c>
      <c r="O190" t="s">
        <v>223</v>
      </c>
    </row>
    <row r="191" spans="12:15" ht="14.25">
      <c r="L191" t="s">
        <v>444</v>
      </c>
      <c r="M191" s="52">
        <v>0.06</v>
      </c>
      <c r="N191" s="54">
        <v>513</v>
      </c>
      <c r="O191" t="s">
        <v>10</v>
      </c>
    </row>
    <row r="192" spans="12:15" ht="14.25">
      <c r="L192" t="s">
        <v>445</v>
      </c>
      <c r="M192" s="52">
        <v>0.06</v>
      </c>
      <c r="N192" s="54">
        <v>513</v>
      </c>
      <c r="O192" t="s">
        <v>223</v>
      </c>
    </row>
    <row r="193" spans="12:15" ht="14.25">
      <c r="L193" t="s">
        <v>446</v>
      </c>
      <c r="M193" s="52">
        <v>0.06</v>
      </c>
      <c r="N193" s="54">
        <v>513</v>
      </c>
      <c r="O193" t="s">
        <v>10</v>
      </c>
    </row>
    <row r="194" spans="12:15" ht="14.25">
      <c r="L194" t="s">
        <v>447</v>
      </c>
      <c r="M194" s="52">
        <v>0.13</v>
      </c>
      <c r="N194" s="54">
        <v>513</v>
      </c>
      <c r="O194" t="s">
        <v>10</v>
      </c>
    </row>
    <row r="195" spans="12:15" ht="14.25">
      <c r="L195" t="s">
        <v>513</v>
      </c>
      <c r="M195" s="52">
        <v>0.11</v>
      </c>
      <c r="N195" s="54">
        <v>863</v>
      </c>
      <c r="O195" t="s">
        <v>223</v>
      </c>
    </row>
    <row r="196" spans="12:15" ht="14.25">
      <c r="L196" t="s">
        <v>514</v>
      </c>
      <c r="M196" s="52">
        <v>0.13</v>
      </c>
      <c r="N196" s="54">
        <v>863</v>
      </c>
      <c r="O196" t="s">
        <v>10</v>
      </c>
    </row>
    <row r="197" spans="12:15" ht="14.25">
      <c r="L197" t="s">
        <v>448</v>
      </c>
      <c r="M197" s="52">
        <v>0.11</v>
      </c>
      <c r="N197" s="54">
        <v>513</v>
      </c>
      <c r="O197" t="s">
        <v>223</v>
      </c>
    </row>
    <row r="198" spans="12:15" ht="14.25">
      <c r="L198" t="s">
        <v>515</v>
      </c>
      <c r="M198" s="52">
        <v>0.115</v>
      </c>
      <c r="N198" s="54">
        <v>863</v>
      </c>
      <c r="O198" t="s">
        <v>10</v>
      </c>
    </row>
    <row r="199" spans="12:15" ht="14.25">
      <c r="L199" t="s">
        <v>516</v>
      </c>
      <c r="M199" s="52">
        <v>0.115</v>
      </c>
      <c r="N199" s="54">
        <v>863</v>
      </c>
      <c r="O199" t="s">
        <v>223</v>
      </c>
    </row>
    <row r="200" spans="12:15" ht="14.25">
      <c r="L200" t="s">
        <v>306</v>
      </c>
      <c r="M200" s="52">
        <v>0.08</v>
      </c>
      <c r="N200" s="54">
        <v>238</v>
      </c>
      <c r="O200" t="s">
        <v>10</v>
      </c>
    </row>
    <row r="201" spans="12:15" ht="14.25">
      <c r="L201" t="s">
        <v>307</v>
      </c>
      <c r="M201" s="52">
        <v>0.08</v>
      </c>
      <c r="N201" s="54">
        <v>238</v>
      </c>
      <c r="O201" t="s">
        <v>223</v>
      </c>
    </row>
    <row r="202" spans="12:15" ht="14.25">
      <c r="L202" t="s">
        <v>365</v>
      </c>
      <c r="M202" s="52">
        <v>0.01</v>
      </c>
      <c r="N202" s="54">
        <v>317</v>
      </c>
      <c r="O202" t="s">
        <v>10</v>
      </c>
    </row>
    <row r="203" spans="12:15" ht="14.25">
      <c r="L203" t="s">
        <v>366</v>
      </c>
      <c r="M203" s="52">
        <v>0.01</v>
      </c>
      <c r="N203" s="54">
        <v>317</v>
      </c>
      <c r="O203" t="s">
        <v>223</v>
      </c>
    </row>
    <row r="204" spans="12:15" ht="14.25">
      <c r="L204" t="s">
        <v>367</v>
      </c>
      <c r="M204" s="52">
        <v>0.11</v>
      </c>
      <c r="N204" s="54">
        <v>317</v>
      </c>
      <c r="O204" t="s">
        <v>10</v>
      </c>
    </row>
    <row r="205" spans="12:15" ht="14.25">
      <c r="L205" t="s">
        <v>368</v>
      </c>
      <c r="M205" s="52">
        <v>0.11</v>
      </c>
      <c r="N205" s="54">
        <v>317</v>
      </c>
      <c r="O205" t="s">
        <v>223</v>
      </c>
    </row>
    <row r="206" spans="12:15" ht="14.25">
      <c r="L206" t="s">
        <v>369</v>
      </c>
      <c r="M206" s="52">
        <v>0.11</v>
      </c>
      <c r="N206" s="54">
        <v>317</v>
      </c>
      <c r="O206" t="s">
        <v>10</v>
      </c>
    </row>
    <row r="207" spans="12:15" ht="14.25">
      <c r="L207" t="s">
        <v>370</v>
      </c>
      <c r="M207" s="52">
        <v>0.07</v>
      </c>
      <c r="N207" s="54">
        <v>317</v>
      </c>
      <c r="O207" t="s">
        <v>223</v>
      </c>
    </row>
    <row r="208" spans="12:15" ht="14.25">
      <c r="L208" t="s">
        <v>371</v>
      </c>
      <c r="M208" s="52">
        <v>0.11</v>
      </c>
      <c r="N208" s="54">
        <v>317</v>
      </c>
      <c r="O208" t="s">
        <v>10</v>
      </c>
    </row>
    <row r="209" spans="12:15" ht="14.25">
      <c r="L209" t="s">
        <v>372</v>
      </c>
      <c r="M209" s="52">
        <v>0.11</v>
      </c>
      <c r="N209" s="54">
        <v>317</v>
      </c>
      <c r="O209" t="s">
        <v>223</v>
      </c>
    </row>
    <row r="210" spans="12:15" ht="14.25">
      <c r="L210" t="s">
        <v>517</v>
      </c>
      <c r="M210" s="52">
        <v>0.08</v>
      </c>
      <c r="N210" s="54">
        <v>863</v>
      </c>
      <c r="O210" t="s">
        <v>223</v>
      </c>
    </row>
    <row r="211" spans="12:15" ht="14.25">
      <c r="L211" t="s">
        <v>518</v>
      </c>
      <c r="M211" s="52">
        <v>0.115</v>
      </c>
      <c r="N211" s="54">
        <v>863</v>
      </c>
      <c r="O211" t="s">
        <v>10</v>
      </c>
    </row>
    <row r="212" spans="12:15" ht="14.25">
      <c r="L212" t="s">
        <v>373</v>
      </c>
      <c r="M212" s="52">
        <v>0.1</v>
      </c>
      <c r="N212" s="54">
        <v>317</v>
      </c>
      <c r="O212" t="s">
        <v>10</v>
      </c>
    </row>
    <row r="213" spans="12:15" ht="14.25">
      <c r="L213" t="s">
        <v>374</v>
      </c>
      <c r="M213" s="52">
        <v>0.1</v>
      </c>
      <c r="N213" s="54">
        <v>317</v>
      </c>
      <c r="O213" t="s">
        <v>223</v>
      </c>
    </row>
    <row r="214" spans="12:15" ht="14.25">
      <c r="L214" t="s">
        <v>375</v>
      </c>
      <c r="M214" s="52">
        <v>0.11</v>
      </c>
      <c r="N214" s="54">
        <v>317</v>
      </c>
      <c r="O214" t="s">
        <v>223</v>
      </c>
    </row>
    <row r="215" spans="12:15" ht="14.25">
      <c r="L215" t="s">
        <v>376</v>
      </c>
      <c r="M215" s="52">
        <v>0.11</v>
      </c>
      <c r="N215" s="54">
        <v>317</v>
      </c>
      <c r="O215" t="s">
        <v>10</v>
      </c>
    </row>
    <row r="216" spans="12:15" ht="14.25">
      <c r="L216" t="s">
        <v>377</v>
      </c>
      <c r="M216" s="52">
        <v>0.135</v>
      </c>
      <c r="N216" s="54">
        <v>317</v>
      </c>
      <c r="O216" t="s">
        <v>10</v>
      </c>
    </row>
    <row r="217" spans="12:15" ht="14.25">
      <c r="L217" t="s">
        <v>378</v>
      </c>
      <c r="M217" s="52">
        <v>0.06</v>
      </c>
      <c r="N217" s="54">
        <v>317</v>
      </c>
      <c r="O217" t="s">
        <v>10</v>
      </c>
    </row>
    <row r="218" spans="12:15" ht="14.25">
      <c r="L218" t="s">
        <v>379</v>
      </c>
      <c r="M218" s="52">
        <v>0.06</v>
      </c>
      <c r="N218" s="54">
        <v>317</v>
      </c>
      <c r="O218" t="s">
        <v>223</v>
      </c>
    </row>
    <row r="219" spans="12:15" ht="14.25">
      <c r="L219" t="s">
        <v>308</v>
      </c>
      <c r="M219" s="52">
        <v>0</v>
      </c>
      <c r="N219" s="54">
        <v>238</v>
      </c>
      <c r="O219" t="s">
        <v>223</v>
      </c>
    </row>
    <row r="220" spans="12:15" ht="14.25">
      <c r="L220" t="s">
        <v>309</v>
      </c>
      <c r="M220" s="52">
        <v>0.08</v>
      </c>
      <c r="N220" s="54">
        <v>238</v>
      </c>
      <c r="O220" t="s">
        <v>223</v>
      </c>
    </row>
    <row r="221" spans="12:15" ht="14.25">
      <c r="L221" t="s">
        <v>310</v>
      </c>
      <c r="M221" s="52">
        <v>0</v>
      </c>
      <c r="N221" s="54">
        <v>238</v>
      </c>
      <c r="O221" t="s">
        <v>10</v>
      </c>
    </row>
    <row r="222" spans="12:15" ht="14.25">
      <c r="L222" t="s">
        <v>311</v>
      </c>
      <c r="M222" s="52">
        <v>0.08</v>
      </c>
      <c r="N222" s="54">
        <v>238</v>
      </c>
      <c r="O222" t="s">
        <v>10</v>
      </c>
    </row>
    <row r="223" spans="12:15" ht="14.25">
      <c r="L223" t="s">
        <v>251</v>
      </c>
      <c r="M223" s="52">
        <v>0</v>
      </c>
      <c r="N223" s="54">
        <v>0</v>
      </c>
      <c r="O223" t="s">
        <v>223</v>
      </c>
    </row>
    <row r="224" spans="12:15" ht="14.25">
      <c r="L224" t="s">
        <v>252</v>
      </c>
      <c r="M224" s="52">
        <v>0.0375</v>
      </c>
      <c r="N224" s="54">
        <v>0</v>
      </c>
      <c r="O224" t="s">
        <v>223</v>
      </c>
    </row>
    <row r="225" spans="12:15" ht="14.25">
      <c r="L225" t="s">
        <v>380</v>
      </c>
      <c r="M225" s="52">
        <v>0.01</v>
      </c>
      <c r="N225" s="54">
        <v>317</v>
      </c>
      <c r="O225" t="s">
        <v>223</v>
      </c>
    </row>
    <row r="226" spans="12:15" ht="14.25">
      <c r="L226" t="s">
        <v>449</v>
      </c>
      <c r="M226" s="52">
        <v>0.05</v>
      </c>
      <c r="N226" s="54">
        <v>513</v>
      </c>
      <c r="O226" t="s">
        <v>14</v>
      </c>
    </row>
    <row r="227" spans="12:15" ht="14.25">
      <c r="L227" t="s">
        <v>253</v>
      </c>
      <c r="M227" s="52">
        <v>0.0375</v>
      </c>
      <c r="N227" s="54">
        <v>0</v>
      </c>
      <c r="O227" t="s">
        <v>14</v>
      </c>
    </row>
    <row r="228" spans="12:15" ht="14.25">
      <c r="L228" t="s">
        <v>254</v>
      </c>
      <c r="M228" s="52">
        <v>0.0375</v>
      </c>
      <c r="N228" s="54">
        <v>0</v>
      </c>
      <c r="O228" t="s">
        <v>14</v>
      </c>
    </row>
    <row r="229" spans="12:15" ht="14.25">
      <c r="L229" t="s">
        <v>381</v>
      </c>
      <c r="M229" s="52">
        <v>0.09</v>
      </c>
      <c r="N229" s="54">
        <v>317</v>
      </c>
      <c r="O229" t="s">
        <v>10</v>
      </c>
    </row>
    <row r="230" spans="12:15" ht="14.25">
      <c r="L230" t="s">
        <v>255</v>
      </c>
      <c r="M230" s="52">
        <v>0.0375</v>
      </c>
      <c r="N230" s="54">
        <v>0</v>
      </c>
      <c r="O230" t="s">
        <v>10</v>
      </c>
    </row>
    <row r="231" spans="12:15" ht="14.25">
      <c r="L231" t="s">
        <v>450</v>
      </c>
      <c r="M231" s="52">
        <v>0</v>
      </c>
      <c r="N231" s="54">
        <v>513</v>
      </c>
      <c r="O231" t="s">
        <v>14</v>
      </c>
    </row>
    <row r="232" spans="12:15" ht="14.25">
      <c r="L232" t="s">
        <v>451</v>
      </c>
      <c r="M232" s="52">
        <v>0.09</v>
      </c>
      <c r="N232" s="54">
        <v>513</v>
      </c>
      <c r="O232" t="s">
        <v>14</v>
      </c>
    </row>
    <row r="233" spans="12:15" ht="14.25">
      <c r="L233" t="s">
        <v>452</v>
      </c>
      <c r="M233" s="52">
        <v>0.09</v>
      </c>
      <c r="N233" s="54">
        <v>513</v>
      </c>
      <c r="O233" t="s">
        <v>14</v>
      </c>
    </row>
    <row r="234" spans="12:15" ht="14.25">
      <c r="L234" t="s">
        <v>453</v>
      </c>
      <c r="M234" s="52">
        <v>0.09</v>
      </c>
      <c r="N234" s="54">
        <v>513</v>
      </c>
      <c r="O234" t="s">
        <v>14</v>
      </c>
    </row>
    <row r="235" spans="12:15" ht="14.25">
      <c r="L235" t="s">
        <v>256</v>
      </c>
      <c r="M235" s="52">
        <v>0.03</v>
      </c>
      <c r="N235" s="54">
        <v>0</v>
      </c>
      <c r="O235" t="s">
        <v>14</v>
      </c>
    </row>
    <row r="236" spans="12:15" ht="14.25">
      <c r="L236" t="s">
        <v>382</v>
      </c>
      <c r="M236" s="52">
        <v>0.11</v>
      </c>
      <c r="N236" s="54">
        <v>317</v>
      </c>
      <c r="O236" t="s">
        <v>223</v>
      </c>
    </row>
    <row r="237" spans="12:15" ht="14.25">
      <c r="L237" t="s">
        <v>383</v>
      </c>
      <c r="M237" s="52">
        <v>0.11</v>
      </c>
      <c r="N237" s="54">
        <v>317</v>
      </c>
      <c r="O237" t="s">
        <v>10</v>
      </c>
    </row>
    <row r="238" spans="12:15" ht="14.25">
      <c r="L238" t="s">
        <v>454</v>
      </c>
      <c r="M238" s="52">
        <v>0.1</v>
      </c>
      <c r="N238" s="54">
        <v>513</v>
      </c>
      <c r="O238" t="s">
        <v>14</v>
      </c>
    </row>
    <row r="239" spans="12:15" ht="14.25">
      <c r="L239" t="s">
        <v>384</v>
      </c>
      <c r="M239" s="52">
        <v>0.11</v>
      </c>
      <c r="N239" s="54">
        <v>317</v>
      </c>
      <c r="O239" t="s">
        <v>223</v>
      </c>
    </row>
    <row r="240" spans="12:15" ht="14.25">
      <c r="L240" t="s">
        <v>385</v>
      </c>
      <c r="M240" s="52">
        <v>0.11</v>
      </c>
      <c r="N240" s="54">
        <v>317</v>
      </c>
      <c r="O240" t="s">
        <v>10</v>
      </c>
    </row>
    <row r="241" spans="12:15" ht="14.25">
      <c r="L241" t="s">
        <v>455</v>
      </c>
      <c r="M241" s="52">
        <v>0.05</v>
      </c>
      <c r="N241" s="54">
        <v>513</v>
      </c>
      <c r="O241" t="s">
        <v>14</v>
      </c>
    </row>
    <row r="242" spans="12:15" ht="14.25">
      <c r="L242" t="s">
        <v>456</v>
      </c>
      <c r="M242" s="52">
        <v>0.1</v>
      </c>
      <c r="N242" s="54">
        <v>513</v>
      </c>
      <c r="O242" t="s">
        <v>14</v>
      </c>
    </row>
    <row r="243" spans="12:15" ht="14.25">
      <c r="L243" t="s">
        <v>457</v>
      </c>
      <c r="M243" s="52">
        <v>0.1</v>
      </c>
      <c r="N243" s="54">
        <v>513</v>
      </c>
      <c r="O243" t="s">
        <v>14</v>
      </c>
    </row>
    <row r="244" spans="12:15" ht="14.25">
      <c r="L244" t="s">
        <v>458</v>
      </c>
      <c r="M244" s="52">
        <v>0.09</v>
      </c>
      <c r="N244" s="54">
        <v>513</v>
      </c>
      <c r="O244" t="s">
        <v>14</v>
      </c>
    </row>
    <row r="245" spans="12:15" ht="14.25">
      <c r="L245" t="s">
        <v>459</v>
      </c>
      <c r="M245" s="52">
        <v>0.09</v>
      </c>
      <c r="N245" s="54">
        <v>513</v>
      </c>
      <c r="O245" t="s">
        <v>14</v>
      </c>
    </row>
    <row r="246" spans="12:15" ht="14.25">
      <c r="L246" t="s">
        <v>386</v>
      </c>
      <c r="M246" s="52">
        <v>0.09</v>
      </c>
      <c r="N246" s="54">
        <v>317</v>
      </c>
      <c r="O246" t="s">
        <v>223</v>
      </c>
    </row>
    <row r="247" spans="12:15" ht="14.25">
      <c r="L247" t="s">
        <v>387</v>
      </c>
      <c r="M247" s="52">
        <v>0.1</v>
      </c>
      <c r="N247" s="54">
        <v>317</v>
      </c>
      <c r="O247" t="s">
        <v>10</v>
      </c>
    </row>
    <row r="248" spans="12:15" ht="14.25">
      <c r="L248" t="s">
        <v>388</v>
      </c>
      <c r="M248" s="52">
        <v>0.1</v>
      </c>
      <c r="N248" s="54">
        <v>317</v>
      </c>
      <c r="O248" t="s">
        <v>223</v>
      </c>
    </row>
    <row r="249" spans="12:15" ht="14.25">
      <c r="L249" t="s">
        <v>389</v>
      </c>
      <c r="M249" s="52">
        <v>0.1</v>
      </c>
      <c r="N249" s="54">
        <v>317</v>
      </c>
      <c r="O249" t="s">
        <v>10</v>
      </c>
    </row>
    <row r="250" spans="12:15" ht="14.25">
      <c r="L250" t="s">
        <v>460</v>
      </c>
      <c r="M250" s="52">
        <v>0.09</v>
      </c>
      <c r="N250" s="54">
        <v>513</v>
      </c>
      <c r="O250" t="s">
        <v>14</v>
      </c>
    </row>
    <row r="251" spans="12:15" ht="14.25">
      <c r="L251" t="s">
        <v>461</v>
      </c>
      <c r="M251" s="52">
        <v>0.09</v>
      </c>
      <c r="N251" s="54">
        <v>513</v>
      </c>
      <c r="O251" t="s">
        <v>14</v>
      </c>
    </row>
    <row r="252" spans="12:15" ht="14.25">
      <c r="L252" t="s">
        <v>462</v>
      </c>
      <c r="M252" s="52">
        <v>0.08</v>
      </c>
      <c r="N252" s="54">
        <v>513</v>
      </c>
      <c r="O252" t="s">
        <v>14</v>
      </c>
    </row>
    <row r="253" spans="12:15" ht="14.25">
      <c r="L253" t="s">
        <v>463</v>
      </c>
      <c r="M253" s="52">
        <v>0.1</v>
      </c>
      <c r="N253" s="54">
        <v>513</v>
      </c>
      <c r="O253" t="s">
        <v>14</v>
      </c>
    </row>
    <row r="254" spans="12:15" ht="14.25">
      <c r="L254" t="s">
        <v>464</v>
      </c>
      <c r="M254" s="52">
        <v>0.1</v>
      </c>
      <c r="N254" s="54">
        <v>513</v>
      </c>
      <c r="O254" t="s">
        <v>14</v>
      </c>
    </row>
    <row r="255" spans="12:15" ht="14.25">
      <c r="L255" t="s">
        <v>229</v>
      </c>
      <c r="M255" s="52">
        <v>0.1</v>
      </c>
      <c r="N255" s="54">
        <v>513</v>
      </c>
      <c r="O255" t="s">
        <v>14</v>
      </c>
    </row>
    <row r="256" spans="12:15" ht="14.25">
      <c r="L256" t="s">
        <v>465</v>
      </c>
      <c r="M256" s="52">
        <v>0.05</v>
      </c>
      <c r="N256" s="54">
        <v>513</v>
      </c>
      <c r="O256" t="s">
        <v>14</v>
      </c>
    </row>
    <row r="257" spans="12:15" ht="14.25">
      <c r="L257" t="s">
        <v>465</v>
      </c>
      <c r="M257" s="52">
        <v>0.125</v>
      </c>
      <c r="N257" s="54">
        <v>513</v>
      </c>
      <c r="O257" t="s">
        <v>14</v>
      </c>
    </row>
    <row r="258" spans="12:15" ht="14.25">
      <c r="L258" t="s">
        <v>466</v>
      </c>
      <c r="M258" s="52">
        <v>0.1</v>
      </c>
      <c r="N258" s="54">
        <v>513</v>
      </c>
      <c r="O258" t="s">
        <v>14</v>
      </c>
    </row>
    <row r="259" spans="12:15" ht="14.25">
      <c r="L259" t="s">
        <v>467</v>
      </c>
      <c r="M259" s="52">
        <v>0.1</v>
      </c>
      <c r="N259" s="54">
        <v>513</v>
      </c>
      <c r="O259" t="s">
        <v>14</v>
      </c>
    </row>
    <row r="260" spans="12:15" ht="14.25">
      <c r="L260" t="s">
        <v>468</v>
      </c>
      <c r="M260" s="52">
        <v>0.1</v>
      </c>
      <c r="N260" s="54">
        <v>513</v>
      </c>
      <c r="O260" t="s">
        <v>14</v>
      </c>
    </row>
    <row r="261" spans="12:15" ht="14.25">
      <c r="L261" t="s">
        <v>469</v>
      </c>
      <c r="M261" s="52">
        <v>0.1</v>
      </c>
      <c r="N261" s="54">
        <v>513</v>
      </c>
      <c r="O261" t="s">
        <v>14</v>
      </c>
    </row>
    <row r="262" spans="12:15" ht="14.25">
      <c r="L262" t="s">
        <v>470</v>
      </c>
      <c r="M262" s="52">
        <v>0.1</v>
      </c>
      <c r="N262" s="54">
        <v>513</v>
      </c>
      <c r="O262" t="s">
        <v>14</v>
      </c>
    </row>
    <row r="263" spans="12:15" ht="14.25">
      <c r="L263" t="s">
        <v>471</v>
      </c>
      <c r="M263" s="52">
        <v>0.05</v>
      </c>
      <c r="N263" s="54">
        <v>513</v>
      </c>
      <c r="O263" t="s">
        <v>14</v>
      </c>
    </row>
    <row r="264" spans="12:15" ht="14.25">
      <c r="L264" t="s">
        <v>472</v>
      </c>
      <c r="M264" s="52">
        <v>0.1</v>
      </c>
      <c r="N264" s="54">
        <v>513</v>
      </c>
      <c r="O264" t="s">
        <v>14</v>
      </c>
    </row>
    <row r="265" spans="12:15" ht="14.25">
      <c r="L265" t="s">
        <v>473</v>
      </c>
      <c r="M265" s="52">
        <v>0.125</v>
      </c>
      <c r="N265" s="54">
        <v>513</v>
      </c>
      <c r="O265" t="s">
        <v>14</v>
      </c>
    </row>
    <row r="266" spans="12:15" ht="14.25">
      <c r="L266" t="s">
        <v>474</v>
      </c>
      <c r="M266" s="52">
        <v>0.1</v>
      </c>
      <c r="N266" s="54">
        <v>513</v>
      </c>
      <c r="O266" t="s">
        <v>14</v>
      </c>
    </row>
    <row r="267" spans="12:15" ht="14.25">
      <c r="L267" t="s">
        <v>475</v>
      </c>
      <c r="M267" s="52">
        <v>0.1</v>
      </c>
      <c r="N267" s="54">
        <v>513</v>
      </c>
      <c r="O267" t="s">
        <v>14</v>
      </c>
    </row>
    <row r="268" spans="12:15" ht="14.25">
      <c r="L268" t="s">
        <v>476</v>
      </c>
      <c r="M268" s="52">
        <v>0.1</v>
      </c>
      <c r="N268" s="54">
        <v>513</v>
      </c>
      <c r="O268" t="s">
        <v>14</v>
      </c>
    </row>
    <row r="269" spans="12:15" ht="14.25">
      <c r="L269" t="s">
        <v>477</v>
      </c>
      <c r="M269" s="52">
        <v>0.08</v>
      </c>
      <c r="N269" s="54">
        <v>513</v>
      </c>
      <c r="O269" t="s">
        <v>14</v>
      </c>
    </row>
    <row r="270" spans="12:15" ht="14.25">
      <c r="L270" t="s">
        <v>478</v>
      </c>
      <c r="M270" s="52">
        <v>0.08</v>
      </c>
      <c r="N270" s="54">
        <v>513</v>
      </c>
      <c r="O270" t="s">
        <v>14</v>
      </c>
    </row>
    <row r="271" spans="12:15" ht="14.25">
      <c r="L271" t="s">
        <v>479</v>
      </c>
      <c r="M271" s="52">
        <v>0.09</v>
      </c>
      <c r="N271" s="54">
        <v>513</v>
      </c>
      <c r="O271" t="s">
        <v>14</v>
      </c>
    </row>
    <row r="272" spans="12:15" ht="14.25">
      <c r="L272" t="s">
        <v>480</v>
      </c>
      <c r="M272" s="52">
        <v>0.09</v>
      </c>
      <c r="N272" s="54">
        <v>513</v>
      </c>
      <c r="O272" t="s">
        <v>14</v>
      </c>
    </row>
    <row r="273" spans="12:15" ht="14.25">
      <c r="L273" t="s">
        <v>481</v>
      </c>
      <c r="M273" s="52">
        <v>0.08</v>
      </c>
      <c r="N273" s="54">
        <v>513</v>
      </c>
      <c r="O273" t="s">
        <v>14</v>
      </c>
    </row>
    <row r="274" spans="12:15" ht="14.25">
      <c r="L274" t="s">
        <v>482</v>
      </c>
      <c r="M274" s="52">
        <v>0.09</v>
      </c>
      <c r="N274" s="54">
        <v>513</v>
      </c>
      <c r="O274" t="s">
        <v>14</v>
      </c>
    </row>
    <row r="275" spans="12:15" ht="14.25">
      <c r="L275" t="s">
        <v>483</v>
      </c>
      <c r="M275" s="52">
        <v>0.125</v>
      </c>
      <c r="N275" s="54">
        <v>513</v>
      </c>
      <c r="O275" t="s">
        <v>14</v>
      </c>
    </row>
    <row r="276" spans="12:15" ht="14.25">
      <c r="L276" t="s">
        <v>484</v>
      </c>
      <c r="M276" s="52">
        <v>0.09</v>
      </c>
      <c r="N276" s="54">
        <v>513</v>
      </c>
      <c r="O276" t="s">
        <v>14</v>
      </c>
    </row>
    <row r="277" spans="12:15" ht="14.25">
      <c r="L277" t="s">
        <v>485</v>
      </c>
      <c r="M277" s="52">
        <v>0.09</v>
      </c>
      <c r="N277" s="54">
        <v>513</v>
      </c>
      <c r="O277" t="s">
        <v>14</v>
      </c>
    </row>
    <row r="278" spans="12:15" ht="14.25">
      <c r="L278" t="s">
        <v>486</v>
      </c>
      <c r="M278" s="52">
        <v>0.08</v>
      </c>
      <c r="N278" s="54">
        <v>513</v>
      </c>
      <c r="O278" t="s">
        <v>14</v>
      </c>
    </row>
    <row r="279" spans="12:15" ht="14.25">
      <c r="L279" t="s">
        <v>487</v>
      </c>
      <c r="M279" s="52">
        <v>0.095</v>
      </c>
      <c r="N279" s="54">
        <v>513</v>
      </c>
      <c r="O279" t="s">
        <v>14</v>
      </c>
    </row>
    <row r="280" spans="12:15" ht="14.25">
      <c r="L280" t="s">
        <v>257</v>
      </c>
      <c r="M280" s="52">
        <v>0.08</v>
      </c>
      <c r="N280" s="54">
        <v>0</v>
      </c>
      <c r="O280" t="s">
        <v>223</v>
      </c>
    </row>
    <row r="281" spans="12:15" ht="14.25">
      <c r="L281" t="s">
        <v>258</v>
      </c>
      <c r="M281" s="52">
        <v>0.01</v>
      </c>
      <c r="N281" s="54">
        <v>0</v>
      </c>
      <c r="O281" t="s">
        <v>223</v>
      </c>
    </row>
    <row r="282" spans="12:15" ht="14.25">
      <c r="L282" t="s">
        <v>259</v>
      </c>
      <c r="M282" s="52">
        <v>0.01</v>
      </c>
      <c r="N282" s="54">
        <v>0</v>
      </c>
      <c r="O282" t="s">
        <v>10</v>
      </c>
    </row>
    <row r="283" spans="12:15" ht="14.25">
      <c r="L283" t="s">
        <v>260</v>
      </c>
      <c r="M283" s="52">
        <v>0</v>
      </c>
      <c r="N283" s="54">
        <v>0</v>
      </c>
      <c r="O283" t="s">
        <v>223</v>
      </c>
    </row>
    <row r="284" spans="12:15" ht="14.25">
      <c r="L284" t="s">
        <v>261</v>
      </c>
      <c r="M284" s="52">
        <v>0.1525</v>
      </c>
      <c r="N284" s="54">
        <v>0</v>
      </c>
      <c r="O284" t="s">
        <v>10</v>
      </c>
    </row>
    <row r="285" spans="12:15" ht="14.25">
      <c r="L285" t="s">
        <v>262</v>
      </c>
      <c r="M285" s="52">
        <v>0.1525</v>
      </c>
      <c r="N285" s="54">
        <v>0</v>
      </c>
      <c r="O285" t="s">
        <v>223</v>
      </c>
    </row>
    <row r="286" spans="12:15" ht="14.25">
      <c r="L286" t="s">
        <v>263</v>
      </c>
      <c r="M286" s="52">
        <v>0.08</v>
      </c>
      <c r="N286" s="54">
        <v>0</v>
      </c>
      <c r="O286" t="s">
        <v>10</v>
      </c>
    </row>
    <row r="287" spans="12:15" ht="14.25">
      <c r="L287" t="s">
        <v>264</v>
      </c>
      <c r="M287" s="52">
        <v>0</v>
      </c>
      <c r="N287" s="54">
        <v>0</v>
      </c>
      <c r="O287" t="s">
        <v>223</v>
      </c>
    </row>
    <row r="288" spans="12:15" ht="14.25">
      <c r="L288" t="s">
        <v>265</v>
      </c>
      <c r="M288" s="52">
        <v>0</v>
      </c>
      <c r="N288" s="54">
        <v>0</v>
      </c>
      <c r="O288" t="s">
        <v>10</v>
      </c>
    </row>
    <row r="289" spans="12:15" ht="14.25">
      <c r="L289" t="s">
        <v>266</v>
      </c>
      <c r="M289" s="52">
        <v>0</v>
      </c>
      <c r="N289" s="54">
        <v>0</v>
      </c>
      <c r="O289" t="s">
        <v>223</v>
      </c>
    </row>
    <row r="290" spans="12:15" ht="14.25">
      <c r="L290" t="s">
        <v>267</v>
      </c>
      <c r="M290" s="52">
        <v>0</v>
      </c>
      <c r="N290" s="54">
        <v>0</v>
      </c>
      <c r="O290" t="s">
        <v>10</v>
      </c>
    </row>
    <row r="291" spans="12:15" ht="14.25">
      <c r="L291" t="s">
        <v>268</v>
      </c>
      <c r="M291" s="52">
        <v>0</v>
      </c>
      <c r="N291" s="54">
        <v>0</v>
      </c>
      <c r="O291" t="s">
        <v>223</v>
      </c>
    </row>
    <row r="292" spans="12:15" ht="14.25">
      <c r="L292" t="s">
        <v>269</v>
      </c>
      <c r="M292" s="52">
        <v>0</v>
      </c>
      <c r="N292" s="54">
        <v>0</v>
      </c>
      <c r="O292" t="s">
        <v>10</v>
      </c>
    </row>
    <row r="293" spans="12:15" ht="14.25">
      <c r="L293" t="s">
        <v>270</v>
      </c>
      <c r="M293" s="52">
        <v>0.08</v>
      </c>
      <c r="N293" s="54">
        <v>0</v>
      </c>
      <c r="O293" t="s">
        <v>10</v>
      </c>
    </row>
    <row r="294" spans="12:15" ht="14.25">
      <c r="L294" t="s">
        <v>271</v>
      </c>
      <c r="M294" s="52">
        <v>0.04</v>
      </c>
      <c r="N294" s="54">
        <v>0</v>
      </c>
      <c r="O294" t="s">
        <v>14</v>
      </c>
    </row>
    <row r="295" spans="12:15" ht="14.25">
      <c r="L295" t="s">
        <v>272</v>
      </c>
      <c r="M295" s="52">
        <v>0.08</v>
      </c>
      <c r="N295" s="54">
        <v>0</v>
      </c>
      <c r="O295" t="s">
        <v>14</v>
      </c>
    </row>
    <row r="296" spans="12:15" ht="14.25">
      <c r="L296" t="s">
        <v>273</v>
      </c>
      <c r="M296" s="52">
        <v>0</v>
      </c>
      <c r="N296" s="54">
        <v>0</v>
      </c>
      <c r="O296" t="s">
        <v>223</v>
      </c>
    </row>
    <row r="297" spans="12:15" ht="14.25">
      <c r="L297" t="s">
        <v>274</v>
      </c>
      <c r="M297" s="52">
        <v>0</v>
      </c>
      <c r="N297" s="54">
        <v>0</v>
      </c>
      <c r="O297" t="s">
        <v>10</v>
      </c>
    </row>
    <row r="298" spans="12:15" ht="14.25">
      <c r="L298" t="s">
        <v>275</v>
      </c>
      <c r="M298" s="52">
        <v>0</v>
      </c>
      <c r="N298" s="54">
        <v>0</v>
      </c>
      <c r="O298" t="s">
        <v>10</v>
      </c>
    </row>
    <row r="299" spans="12:15" ht="14.25">
      <c r="L299" t="s">
        <v>223</v>
      </c>
      <c r="M299" s="52">
        <v>0</v>
      </c>
      <c r="N299" s="54">
        <v>0</v>
      </c>
      <c r="O299" t="s">
        <v>14</v>
      </c>
    </row>
    <row r="300" spans="12:15" ht="14.25">
      <c r="L300" t="s">
        <v>522</v>
      </c>
      <c r="M300" s="52">
        <v>0</v>
      </c>
      <c r="N300" s="54">
        <v>0</v>
      </c>
      <c r="O300" t="s">
        <v>223</v>
      </c>
    </row>
    <row r="301" spans="12:15" ht="14.25">
      <c r="L301" t="s">
        <v>276</v>
      </c>
      <c r="M301" s="52">
        <v>0.08</v>
      </c>
      <c r="N301" s="54">
        <v>0</v>
      </c>
      <c r="O301" t="s">
        <v>223</v>
      </c>
    </row>
    <row r="302" spans="12:15" ht="14.25">
      <c r="L302" t="s">
        <v>277</v>
      </c>
      <c r="M302" s="52">
        <v>0.092</v>
      </c>
      <c r="N302" s="54">
        <v>0</v>
      </c>
      <c r="O302" t="s">
        <v>10</v>
      </c>
    </row>
    <row r="303" spans="12:15" ht="14.25">
      <c r="L303" t="s">
        <v>524</v>
      </c>
      <c r="M303" s="52">
        <v>0.0856</v>
      </c>
      <c r="N303" s="54">
        <v>0</v>
      </c>
      <c r="O303" t="s">
        <v>10</v>
      </c>
    </row>
    <row r="304" spans="12:15" ht="14.25">
      <c r="L304" t="s">
        <v>278</v>
      </c>
      <c r="M304" s="52">
        <v>0.075</v>
      </c>
      <c r="N304" s="54">
        <v>0</v>
      </c>
      <c r="O304" t="s">
        <v>223</v>
      </c>
    </row>
    <row r="305" spans="12:15" ht="14.25">
      <c r="L305" t="s">
        <v>488</v>
      </c>
      <c r="M305" s="52">
        <v>0.09</v>
      </c>
      <c r="N305" s="54">
        <v>513</v>
      </c>
      <c r="O305" t="s">
        <v>14</v>
      </c>
    </row>
    <row r="306" spans="12:15" ht="14.25">
      <c r="L306" t="s">
        <v>489</v>
      </c>
      <c r="M306" s="52">
        <v>0.09</v>
      </c>
      <c r="N306" s="54">
        <v>513</v>
      </c>
      <c r="O306" t="s">
        <v>14</v>
      </c>
    </row>
    <row r="307" spans="12:15" ht="14.25">
      <c r="L307" t="s">
        <v>490</v>
      </c>
      <c r="M307" s="52">
        <v>0.09</v>
      </c>
      <c r="N307" s="54">
        <v>513</v>
      </c>
      <c r="O307" t="s">
        <v>14</v>
      </c>
    </row>
    <row r="308" spans="12:15" ht="14.25">
      <c r="L308" t="s">
        <v>491</v>
      </c>
      <c r="M308" s="52">
        <v>0.09</v>
      </c>
      <c r="N308" s="54">
        <v>513</v>
      </c>
      <c r="O308" t="s">
        <v>14</v>
      </c>
    </row>
    <row r="309" spans="12:15" ht="14.25">
      <c r="L309" t="s">
        <v>492</v>
      </c>
      <c r="M309" s="52">
        <v>0.08</v>
      </c>
      <c r="N309" s="54">
        <v>513</v>
      </c>
      <c r="O309" t="s">
        <v>14</v>
      </c>
    </row>
    <row r="310" spans="12:15" ht="14.25">
      <c r="L310" t="s">
        <v>493</v>
      </c>
      <c r="M310" s="52">
        <v>0.08</v>
      </c>
      <c r="N310" s="54">
        <v>513</v>
      </c>
      <c r="O310" t="s">
        <v>14</v>
      </c>
    </row>
    <row r="311" spans="12:15" ht="14.25">
      <c r="L311" t="s">
        <v>494</v>
      </c>
      <c r="M311" s="52">
        <v>0.05</v>
      </c>
      <c r="N311" s="54">
        <v>513</v>
      </c>
      <c r="O311" t="s">
        <v>14</v>
      </c>
    </row>
    <row r="312" spans="12:15" ht="14.25">
      <c r="L312" t="s">
        <v>279</v>
      </c>
      <c r="M312" s="52">
        <v>0.075</v>
      </c>
      <c r="N312" s="54">
        <v>0</v>
      </c>
      <c r="O312" t="s">
        <v>10</v>
      </c>
    </row>
    <row r="313" spans="12:15" ht="14.25">
      <c r="L313" t="s">
        <v>495</v>
      </c>
      <c r="M313" s="52">
        <v>0.05</v>
      </c>
      <c r="N313" s="54">
        <v>513</v>
      </c>
      <c r="O313" t="s">
        <v>14</v>
      </c>
    </row>
    <row r="314" spans="12:15" ht="14.25">
      <c r="L314" t="s">
        <v>496</v>
      </c>
      <c r="M314" s="52">
        <v>0.095</v>
      </c>
      <c r="N314" s="54">
        <v>513</v>
      </c>
      <c r="O314" t="s">
        <v>14</v>
      </c>
    </row>
    <row r="315" spans="12:15" ht="14.25">
      <c r="L315" t="s">
        <v>497</v>
      </c>
      <c r="M315" s="52">
        <v>0.05</v>
      </c>
      <c r="N315" s="54">
        <v>513</v>
      </c>
      <c r="O315" t="s">
        <v>14</v>
      </c>
    </row>
    <row r="316" spans="12:15" ht="14.25">
      <c r="L316" t="s">
        <v>498</v>
      </c>
      <c r="M316" s="52">
        <v>0.09</v>
      </c>
      <c r="N316" s="54">
        <v>513</v>
      </c>
      <c r="O316" t="s">
        <v>14</v>
      </c>
    </row>
    <row r="317" spans="12:15" ht="14.25">
      <c r="L317" t="s">
        <v>280</v>
      </c>
      <c r="M317" s="52">
        <v>0.075</v>
      </c>
      <c r="N317" s="54">
        <v>0</v>
      </c>
      <c r="O317" t="s">
        <v>223</v>
      </c>
    </row>
    <row r="318" spans="12:15" ht="14.25">
      <c r="L318" t="s">
        <v>281</v>
      </c>
      <c r="M318" s="52">
        <v>0.075</v>
      </c>
      <c r="N318" s="54">
        <v>0</v>
      </c>
      <c r="O318" t="s">
        <v>10</v>
      </c>
    </row>
    <row r="319" spans="12:15" ht="14.25">
      <c r="L319" t="s">
        <v>499</v>
      </c>
      <c r="M319" s="52">
        <v>0.05</v>
      </c>
      <c r="N319" s="54">
        <v>513</v>
      </c>
      <c r="O319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Contreras, Alice</cp:lastModifiedBy>
  <cp:lastPrinted>2016-04-08T21:04:02Z</cp:lastPrinted>
  <dcterms:created xsi:type="dcterms:W3CDTF">2001-09-13T14:13:59Z</dcterms:created>
  <dcterms:modified xsi:type="dcterms:W3CDTF">2017-09-12T21:14:48Z</dcterms:modified>
  <cp:category>Paycheck Calculator - Tax Rate - Monthly Version</cp:category>
  <cp:version/>
  <cp:contentType/>
  <cp:contentStatus/>
</cp:coreProperties>
</file>