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\\sconet\data\PPSD\Users\apeters\Data\Desktop\"/>
    </mc:Choice>
  </mc:AlternateContent>
  <xr:revisionPtr revIDLastSave="0" documentId="13_ncr:1_{B50887D1-2C90-4A6D-B83F-356503A254AC}" xr6:coauthVersionLast="47" xr6:coauthVersionMax="47" xr10:uidLastSave="{00000000-0000-0000-0000-000000000000}"/>
  <bookViews>
    <workbookView xWindow="2700" yWindow="2655" windowWidth="19755" windowHeight="12870" xr2:uid="{00000000-000D-0000-FFFF-FFFF00000000}"/>
  </bookViews>
  <sheets>
    <sheet name="calc" sheetId="1" r:id="rId1"/>
  </sheets>
  <definedNames>
    <definedName name="_DCA1">calc!$B$23</definedName>
    <definedName name="_DCA2">calc!$C$23</definedName>
    <definedName name="_DCA3">calc!$D$23</definedName>
    <definedName name="_DCA4">calc!$E$23</definedName>
    <definedName name="_DCA5">calc!$F$23</definedName>
    <definedName name="_DCA6">calc!$G$23</definedName>
    <definedName name="_DED1">calc!$K$9</definedName>
    <definedName name="_DED2">calc!$K$10</definedName>
    <definedName name="_DED3">calc!$L$10</definedName>
    <definedName name="_DED4">calc!$L$11</definedName>
    <definedName name="_FAN1">calc!$J$25</definedName>
    <definedName name="_FTA1">calc!$J$73</definedName>
    <definedName name="_FTG1">calc!$J$33</definedName>
    <definedName name="_PER1">calc!$M$8</definedName>
    <definedName name="_PER2">calc!$M$9</definedName>
    <definedName name="_PER3">calc!$M$10</definedName>
    <definedName name="_PER4">calc!$M$11</definedName>
    <definedName name="_SDI1">calc!$J$12</definedName>
    <definedName name="_SDM1">calc!$T$13</definedName>
    <definedName name="_SDM2">calc!$U$13</definedName>
    <definedName name="_STA1">calc!$M$73</definedName>
    <definedName name="_STG1">calc!$M$33</definedName>
    <definedName name="_TG1">calc!$J$14</definedName>
    <definedName name="_TG2">calc!$J$15</definedName>
    <definedName name="_TG3">calc!$J$16</definedName>
    <definedName name="_TG4">calc!$J$17</definedName>
    <definedName name="_TG5">calc!$J$18</definedName>
    <definedName name="_TG6">calc!$J$19</definedName>
    <definedName name="ADDALLOW">calc!$M$23</definedName>
    <definedName name="CAT">calc!$B$5</definedName>
    <definedName name="EMPCR">calc!$L$18:$M$90</definedName>
    <definedName name="EPMC">calc!$J$9</definedName>
    <definedName name="EPMC_">calc!$J$8</definedName>
    <definedName name="EPMC2">calc!$M$15</definedName>
    <definedName name="EPMCD">calc!$J$7</definedName>
    <definedName name="FBSA1">calc!$J$41</definedName>
    <definedName name="FBST1">calc!$J$57</definedName>
    <definedName name="Fed_Claim_Dpnts">calc!$B$12</definedName>
    <definedName name="Fed_Deds">calc!$B$14</definedName>
    <definedName name="Fed_Oth_Inc">calc!$B$13</definedName>
    <definedName name="FEDE">calc!$B$10</definedName>
    <definedName name="FEDERAL">calc!$O$1:$Q$27</definedName>
    <definedName name="FEDEXM">calc!$J$23</definedName>
    <definedName name="FEDEXMPT">calc!$O$2</definedName>
    <definedName name="FedHW">calc!$B$11</definedName>
    <definedName name="FEDM">calc!$B$9</definedName>
    <definedName name="FEDM_HW">calc!$K$22</definedName>
    <definedName name="Flex_Cash">calc!$B$19</definedName>
    <definedName name="FMTR1">calc!$J$49</definedName>
    <definedName name="FMTR2">calc!$J$50</definedName>
    <definedName name="FMTR3">calc!$J$51</definedName>
    <definedName name="FMTR4">calc!$J$52</definedName>
    <definedName name="FMTR5">calc!$J$53</definedName>
    <definedName name="FMTR6">calc!$J$54</definedName>
    <definedName name="FOVR1">calc!$J$65</definedName>
    <definedName name="FTAX1">calc!$J$81</definedName>
    <definedName name="FTAX2">calc!$J$82</definedName>
    <definedName name="FTAX3">calc!$J$83</definedName>
    <definedName name="FTAX4">calc!$J$84</definedName>
    <definedName name="FTAX5">calc!$J$85</definedName>
    <definedName name="FTAX6">calc!$J$86</definedName>
    <definedName name="FTXBLH">calc!$O$30:$Q$37</definedName>
    <definedName name="FTXTBLHHW">calc!$O$64:$Q$71</definedName>
    <definedName name="FTXTBLM">calc!$O$19:$Q$26</definedName>
    <definedName name="FTXTBLMHW">calc!$O$53:$Q$60</definedName>
    <definedName name="FTXTBLSH">calc!$O$7:$Q$14</definedName>
    <definedName name="FTXTBLSHW">calc!$O$41:$Q$48</definedName>
    <definedName name="GROSS">calc!$B$3</definedName>
    <definedName name="INSTRUCTIONS">calc!$A$41:$G$63</definedName>
    <definedName name="IT">calc!$A$1:$G$26</definedName>
    <definedName name="LIE">calc!$M$22</definedName>
    <definedName name="LIEH">calc!$V$8</definedName>
    <definedName name="LIEM1">calc!$T$8</definedName>
    <definedName name="LIEM2">calc!$U$8</definedName>
    <definedName name="LIES">calc!$S$8</definedName>
    <definedName name="MACROS">calc!$AC$42:$AG$104</definedName>
    <definedName name="MD_">calc!$M$2</definedName>
    <definedName name="MED">calc!$J$3</definedName>
    <definedName name="MED_">calc!$J$2</definedName>
    <definedName name="NOOA_">calc!$M$4</definedName>
    <definedName name="OA_">calc!$M$1</definedName>
    <definedName name="OAC">calc!$B$8</definedName>
    <definedName name="OASDI">calc!$J$5</definedName>
    <definedName name="OASDI_">calc!$J$4</definedName>
    <definedName name="OPEB">calc!$J$6</definedName>
    <definedName name="OPEB_AC">calc!$B$6</definedName>
    <definedName name="OPEB_Table">calc!$AD$6:$AE$125</definedName>
    <definedName name="PAYFACT">calc!$J$22</definedName>
    <definedName name="_xlnm.Print_Area" localSheetId="0">calc!$A$1:$G$37</definedName>
    <definedName name="RETID_TABLE">calc!$Y$6:$AB$476</definedName>
    <definedName name="SADDALL">calc!$S$3</definedName>
    <definedName name="SafetyCheck">calc!$M$16</definedName>
    <definedName name="SBSA1">calc!$M$41</definedName>
    <definedName name="SBST1">calc!$M$57</definedName>
    <definedName name="SDED">calc!$M$24</definedName>
    <definedName name="SDH">calc!$V$13</definedName>
    <definedName name="SDI">calc!$B$18</definedName>
    <definedName name="SDIGRS">calc!$J$13</definedName>
    <definedName name="SDS">calc!$S$13</definedName>
    <definedName name="SMTR1">calc!$M$49</definedName>
    <definedName name="SMTR2">calc!$M$50</definedName>
    <definedName name="SMTR3">calc!$M$51</definedName>
    <definedName name="SMTR4">calc!$M$52</definedName>
    <definedName name="SMTR5">calc!$M$53</definedName>
    <definedName name="SMTR6">calc!$M$54</definedName>
    <definedName name="SOVR1">calc!$M$65</definedName>
    <definedName name="STA">calc!$B$17</definedName>
    <definedName name="STATE">calc!$S$1:$Y$100</definedName>
    <definedName name="STAX1">calc!$M$81</definedName>
    <definedName name="STAX2">calc!$M$82</definedName>
    <definedName name="STAX3">calc!$M$83</definedName>
    <definedName name="STAX4">calc!$M$84</definedName>
    <definedName name="STAX5">calc!$M$85</definedName>
    <definedName name="STAX6">calc!$M$86</definedName>
    <definedName name="STE">calc!$B$16</definedName>
    <definedName name="STM">calc!$B$15</definedName>
    <definedName name="STXTBLM">calc!$S$32:$U$44</definedName>
    <definedName name="STXTBLS">calc!$S$17:$U$29</definedName>
    <definedName name="STXTBLUH">calc!$S$46:$U$52</definedName>
    <definedName name="TCRM0">calc!$T$62</definedName>
    <definedName name="TCRM1">calc!$U$62</definedName>
    <definedName name="TCRM2">calc!$V$62</definedName>
    <definedName name="TCRMR">calc!$W$62</definedName>
    <definedName name="TCRS0">calc!$T$61</definedName>
    <definedName name="TCRS1">calc!$U$61</definedName>
    <definedName name="TCRS2">calc!$V$61</definedName>
    <definedName name="TCRSR">calc!$W$61</definedName>
    <definedName name="TIER">calc!$B$7</definedName>
    <definedName name="Total_A_R_Deductions">calc!$B$21</definedName>
    <definedName name="Total_Flex">calc!$B$20</definedName>
    <definedName name="TXCRB">calc!$M$25</definedName>
    <definedName name="TXCREDIT">calc!$M$28</definedName>
    <definedName name="TXCROV2">calc!$M$26</definedName>
    <definedName name="TXCRR">calc!$M$27</definedName>
    <definedName name="VOLDEDS">calc!$B$22</definedName>
    <definedName name="WORK">calc!$I$1:$M$163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K6" i="1"/>
  <c r="J6" i="1" s="1"/>
  <c r="B8" i="1"/>
  <c r="J2" i="1" s="1"/>
  <c r="J8" i="1"/>
  <c r="J7" i="1"/>
  <c r="K9" i="1" s="1"/>
  <c r="J23" i="1"/>
  <c r="K22" i="1"/>
  <c r="J22" i="1"/>
  <c r="M24" i="1"/>
  <c r="M22" i="1"/>
  <c r="M23" i="1"/>
  <c r="M25" i="1"/>
  <c r="M26" i="1"/>
  <c r="M27" i="1"/>
  <c r="M28" i="1" l="1"/>
  <c r="J4" i="1"/>
  <c r="J5" i="1" s="1"/>
  <c r="K10" i="1"/>
  <c r="J9" i="1" s="1"/>
  <c r="F28" i="1" s="1"/>
  <c r="G29" i="1"/>
  <c r="C29" i="1"/>
  <c r="B29" i="1"/>
  <c r="J3" i="1"/>
  <c r="D29" i="1"/>
  <c r="E29" i="1"/>
  <c r="J10" i="1"/>
  <c r="J13" i="1"/>
  <c r="J12" i="1" s="1"/>
  <c r="F29" i="1"/>
  <c r="J11" i="1"/>
  <c r="J15" i="1" l="1"/>
  <c r="J26" i="1" s="1"/>
  <c r="J34" i="1" s="1"/>
  <c r="J16" i="1"/>
  <c r="M35" i="1" s="1"/>
  <c r="M51" i="1" s="1"/>
  <c r="B28" i="1"/>
  <c r="J19" i="1"/>
  <c r="M38" i="1" s="1"/>
  <c r="M54" i="1" s="1"/>
  <c r="G28" i="1"/>
  <c r="J14" i="1"/>
  <c r="M33" i="1" s="1"/>
  <c r="J18" i="1"/>
  <c r="J29" i="1" s="1"/>
  <c r="J37" i="1" s="1"/>
  <c r="J17" i="1"/>
  <c r="J28" i="1" s="1"/>
  <c r="J36" i="1" s="1"/>
  <c r="C28" i="1"/>
  <c r="E28" i="1"/>
  <c r="D28" i="1"/>
  <c r="C35" i="1"/>
  <c r="G35" i="1"/>
  <c r="E35" i="1"/>
  <c r="F35" i="1"/>
  <c r="D35" i="1"/>
  <c r="B35" i="1"/>
  <c r="F36" i="1"/>
  <c r="G36" i="1"/>
  <c r="C36" i="1"/>
  <c r="E36" i="1"/>
  <c r="D36" i="1"/>
  <c r="B36" i="1"/>
  <c r="F32" i="1"/>
  <c r="D32" i="1"/>
  <c r="C32" i="1"/>
  <c r="B32" i="1"/>
  <c r="G32" i="1"/>
  <c r="E32" i="1"/>
  <c r="C31" i="1"/>
  <c r="E31" i="1"/>
  <c r="D31" i="1"/>
  <c r="G31" i="1"/>
  <c r="F31" i="1"/>
  <c r="B31" i="1"/>
  <c r="B30" i="1"/>
  <c r="C30" i="1"/>
  <c r="G30" i="1"/>
  <c r="F30" i="1"/>
  <c r="D30" i="1"/>
  <c r="E30" i="1"/>
  <c r="M46" i="1" l="1"/>
  <c r="M70" i="1" s="1"/>
  <c r="J30" i="1"/>
  <c r="J38" i="1" s="1"/>
  <c r="J54" i="1" s="1"/>
  <c r="M43" i="1"/>
  <c r="M67" i="1" s="1"/>
  <c r="D33" i="1"/>
  <c r="M59" i="1"/>
  <c r="J27" i="1"/>
  <c r="J35" i="1" s="1"/>
  <c r="J51" i="1" s="1"/>
  <c r="M62" i="1"/>
  <c r="G33" i="1"/>
  <c r="G34" i="1"/>
  <c r="C34" i="1"/>
  <c r="C33" i="1"/>
  <c r="M34" i="1"/>
  <c r="M42" i="1" s="1"/>
  <c r="M66" i="1" s="1"/>
  <c r="M36" i="1"/>
  <c r="M52" i="1" s="1"/>
  <c r="D34" i="1"/>
  <c r="E34" i="1"/>
  <c r="F34" i="1"/>
  <c r="F33" i="1"/>
  <c r="M37" i="1"/>
  <c r="M53" i="1" s="1"/>
  <c r="E33" i="1"/>
  <c r="B33" i="1"/>
  <c r="B34" i="1"/>
  <c r="J25" i="1"/>
  <c r="J33" i="1" s="1"/>
  <c r="J49" i="1" s="1"/>
  <c r="M57" i="1"/>
  <c r="M49" i="1"/>
  <c r="M41" i="1"/>
  <c r="M65" i="1" s="1"/>
  <c r="J50" i="1"/>
  <c r="J58" i="1"/>
  <c r="J42" i="1"/>
  <c r="J66" i="1" s="1"/>
  <c r="J61" i="1"/>
  <c r="J45" i="1"/>
  <c r="J69" i="1" s="1"/>
  <c r="J53" i="1"/>
  <c r="J60" i="1"/>
  <c r="J52" i="1"/>
  <c r="J44" i="1"/>
  <c r="J68" i="1" s="1"/>
  <c r="M78" i="1" l="1"/>
  <c r="M86" i="1" s="1"/>
  <c r="G27" i="1" s="1"/>
  <c r="J59" i="1"/>
  <c r="M75" i="1"/>
  <c r="M83" i="1" s="1"/>
  <c r="D27" i="1" s="1"/>
  <c r="J43" i="1"/>
  <c r="J67" i="1" s="1"/>
  <c r="J46" i="1"/>
  <c r="J70" i="1" s="1"/>
  <c r="M44" i="1"/>
  <c r="M68" i="1" s="1"/>
  <c r="J62" i="1"/>
  <c r="M60" i="1"/>
  <c r="M50" i="1"/>
  <c r="M58" i="1"/>
  <c r="M45" i="1"/>
  <c r="M69" i="1" s="1"/>
  <c r="M61" i="1"/>
  <c r="J41" i="1"/>
  <c r="J65" i="1" s="1"/>
  <c r="J57" i="1"/>
  <c r="M73" i="1"/>
  <c r="M81" i="1" s="1"/>
  <c r="B27" i="1" s="1"/>
  <c r="J76" i="1"/>
  <c r="K84" i="1" s="1"/>
  <c r="J84" i="1" s="1"/>
  <c r="J74" i="1"/>
  <c r="K82" i="1" s="1"/>
  <c r="J82" i="1" s="1"/>
  <c r="J77" i="1"/>
  <c r="K85" i="1" s="1"/>
  <c r="J85" i="1" s="1"/>
  <c r="J75" i="1" l="1"/>
  <c r="K83" i="1" s="1"/>
  <c r="J83" i="1" s="1"/>
  <c r="D26" i="1" s="1"/>
  <c r="M76" i="1"/>
  <c r="M84" i="1" s="1"/>
  <c r="E27" i="1" s="1"/>
  <c r="J78" i="1"/>
  <c r="K86" i="1" s="1"/>
  <c r="J86" i="1" s="1"/>
  <c r="G24" i="1" s="1"/>
  <c r="M74" i="1"/>
  <c r="M82" i="1" s="1"/>
  <c r="C27" i="1" s="1"/>
  <c r="M77" i="1"/>
  <c r="M85" i="1" s="1"/>
  <c r="F27" i="1" s="1"/>
  <c r="J73" i="1"/>
  <c r="K81" i="1" s="1"/>
  <c r="J81" i="1" s="1"/>
  <c r="B26" i="1" s="1"/>
  <c r="C26" i="1"/>
  <c r="F26" i="1"/>
  <c r="E26" i="1"/>
  <c r="E24" i="1" l="1"/>
  <c r="D24" i="1"/>
  <c r="G26" i="1"/>
  <c r="F24" i="1"/>
  <c r="C24" i="1"/>
  <c r="B24" i="1"/>
  <c r="F25" i="1" l="1"/>
  <c r="D25" i="1"/>
  <c r="E25" i="1"/>
  <c r="G25" i="1"/>
  <c r="C25" i="1"/>
</calcChain>
</file>

<file path=xl/sharedStrings.xml><?xml version="1.0" encoding="utf-8"?>
<sst xmlns="http://schemas.openxmlformats.org/spreadsheetml/2006/main" count="1394" uniqueCount="858">
  <si>
    <t xml:space="preserve">    COMPUTED FIELDS</t>
  </si>
  <si>
    <t>SS %</t>
  </si>
  <si>
    <t>MED %</t>
  </si>
  <si>
    <t>FEDERAL INCOME TAX EXEMPTION</t>
  </si>
  <si>
    <t>STATE INCOME TAX</t>
  </si>
  <si>
    <t>Gross Pay</t>
  </si>
  <si>
    <t xml:space="preserve"> </t>
  </si>
  <si>
    <t>MED%</t>
  </si>
  <si>
    <t>ADDITIONAL ALLOWANCES</t>
  </si>
  <si>
    <t>MED</t>
  </si>
  <si>
    <t>SS%</t>
  </si>
  <si>
    <t>SS</t>
  </si>
  <si>
    <t>EPMC</t>
  </si>
  <si>
    <t>BASE AMT</t>
  </si>
  <si>
    <t>PERCENT</t>
  </si>
  <si>
    <t>BASE TAX</t>
  </si>
  <si>
    <t xml:space="preserve">          LOW INCOME TAX EXEMPTION</t>
  </si>
  <si>
    <t>Federal Marital Status</t>
  </si>
  <si>
    <t>(M, S, H)</t>
  </si>
  <si>
    <t>EPMC DED</t>
  </si>
  <si>
    <t xml:space="preserve"> --- MARRIED ---</t>
  </si>
  <si>
    <t>HEAD OF</t>
  </si>
  <si>
    <t>Number of Exemptions Fed</t>
  </si>
  <si>
    <t>(1-99)</t>
  </si>
  <si>
    <t>EPMC%</t>
  </si>
  <si>
    <t>SINGLE</t>
  </si>
  <si>
    <t>0 or 1</t>
  </si>
  <si>
    <t>2 or more</t>
  </si>
  <si>
    <t>HOUSEHOLD</t>
  </si>
  <si>
    <t>State Marital Status</t>
  </si>
  <si>
    <t>Number of Exemptions State</t>
  </si>
  <si>
    <t>SSTXG</t>
  </si>
  <si>
    <t>MEDTXG</t>
  </si>
  <si>
    <t xml:space="preserve">       STANDARD DEDUCTION TABLE</t>
  </si>
  <si>
    <t>Flex Cash Option</t>
  </si>
  <si>
    <t>TXGRS1</t>
  </si>
  <si>
    <t>Total Other Flex Deductions</t>
  </si>
  <si>
    <t>TXGRS2</t>
  </si>
  <si>
    <t>Total A/R Deductions</t>
  </si>
  <si>
    <t>TXGRS3</t>
  </si>
  <si>
    <t>Total-Voluntary Deductions</t>
  </si>
  <si>
    <t>TXGRS4</t>
  </si>
  <si>
    <t xml:space="preserve">Deferred Comp/TSA </t>
  </si>
  <si>
    <t>TXGRS5</t>
  </si>
  <si>
    <t>MARRIED</t>
  </si>
  <si>
    <t xml:space="preserve"> ------- SINGLE --------</t>
  </si>
  <si>
    <t>NET PAY</t>
  </si>
  <si>
    <t>TXGRS6</t>
  </si>
  <si>
    <t>Difference in Net</t>
  </si>
  <si>
    <t>Federal Tax Withheld</t>
  </si>
  <si>
    <t>State Tax Withheld</t>
  </si>
  <si>
    <t>PAYFACT</t>
  </si>
  <si>
    <t>Retirement Withheld</t>
  </si>
  <si>
    <t>FED EXM</t>
  </si>
  <si>
    <t>Social Security Withheld</t>
  </si>
  <si>
    <t>ANNUALIZED GROSS</t>
  </si>
  <si>
    <t>Medicare Withheld</t>
  </si>
  <si>
    <t>FAN1</t>
  </si>
  <si>
    <t>Federal Taxable Gross</t>
  </si>
  <si>
    <t>FAN2</t>
  </si>
  <si>
    <t>State Taxable Gross</t>
  </si>
  <si>
    <t>FAN3</t>
  </si>
  <si>
    <t>Social Security Taxable Gross</t>
  </si>
  <si>
    <t>FAN4</t>
  </si>
  <si>
    <t>Medicare Taxable Gross</t>
  </si>
  <si>
    <t>FAN5</t>
  </si>
  <si>
    <t>FAN6</t>
  </si>
  <si>
    <t>GENERAL INFORMATION</t>
  </si>
  <si>
    <t xml:space="preserve"> ------- MARRIED --------</t>
  </si>
  <si>
    <t>FTG1</t>
  </si>
  <si>
    <t>FTG2</t>
  </si>
  <si>
    <t>FTG3</t>
  </si>
  <si>
    <t>FTG4</t>
  </si>
  <si>
    <t>FTG5</t>
  </si>
  <si>
    <t>FTG6</t>
  </si>
  <si>
    <t>Specific entry instructions:</t>
  </si>
  <si>
    <t>FBSA1</t>
  </si>
  <si>
    <t>FBSA2</t>
  </si>
  <si>
    <t>FBSA3</t>
  </si>
  <si>
    <t>as REGULAR.  Do not add in FLEX CASH.</t>
  </si>
  <si>
    <t>FBAS4</t>
  </si>
  <si>
    <t>FBAS5</t>
  </si>
  <si>
    <t>FBAS6</t>
  </si>
  <si>
    <t>MARGINAL TAX RATE</t>
  </si>
  <si>
    <t>FMTR1</t>
  </si>
  <si>
    <t>FMTR2</t>
  </si>
  <si>
    <t>FMTR3</t>
  </si>
  <si>
    <t>FMTR4</t>
  </si>
  <si>
    <t>FMTR5</t>
  </si>
  <si>
    <t>FMTR6</t>
  </si>
  <si>
    <t>FBST1</t>
  </si>
  <si>
    <t>FBST2</t>
  </si>
  <si>
    <t>FBST3</t>
  </si>
  <si>
    <t>FBST4</t>
  </si>
  <si>
    <t>FBST5</t>
  </si>
  <si>
    <t>MARITAL</t>
  </si>
  <si>
    <t>FBST6</t>
  </si>
  <si>
    <t>STATUS</t>
  </si>
  <si>
    <t>OVER 2</t>
  </si>
  <si>
    <t>FOVR1</t>
  </si>
  <si>
    <t>FOVR2</t>
  </si>
  <si>
    <t>FOVR3</t>
  </si>
  <si>
    <t>FOVR4</t>
  </si>
  <si>
    <t>FOVR5</t>
  </si>
  <si>
    <t>FOVR6</t>
  </si>
  <si>
    <t>calculation.  These show as ACCT RCVBL on your earnings statement/direct deposit advice.</t>
  </si>
  <si>
    <t>FTA1</t>
  </si>
  <si>
    <t>FTA2</t>
  </si>
  <si>
    <t>FTA3</t>
  </si>
  <si>
    <t>FTA4</t>
  </si>
  <si>
    <t>FTA5</t>
  </si>
  <si>
    <t>FTA6</t>
  </si>
  <si>
    <t>on.  Each column represents the withholding or amounts associated with the corresponding Deferred Compensation/TSA</t>
  </si>
  <si>
    <t>FTAX1</t>
  </si>
  <si>
    <t>FTAX2</t>
  </si>
  <si>
    <t>FTAX3</t>
  </si>
  <si>
    <t>FTAX4</t>
  </si>
  <si>
    <t>FTAX5</t>
  </si>
  <si>
    <t>FTAX6</t>
  </si>
  <si>
    <t>LIE</t>
  </si>
  <si>
    <t>ADDALLOW</t>
  </si>
  <si>
    <t>SDED</t>
  </si>
  <si>
    <t>TXCRB</t>
  </si>
  <si>
    <t>TXCROV2</t>
  </si>
  <si>
    <t>TXCRR</t>
  </si>
  <si>
    <t>TXCREDIT</t>
  </si>
  <si>
    <t>STG1</t>
  </si>
  <si>
    <t>STG2</t>
  </si>
  <si>
    <t>STG3</t>
  </si>
  <si>
    <t>STG4</t>
  </si>
  <si>
    <t>STG5</t>
  </si>
  <si>
    <t>STG6</t>
  </si>
  <si>
    <t>SBSA1</t>
  </si>
  <si>
    <t>SBSA2</t>
  </si>
  <si>
    <t>SBAS3</t>
  </si>
  <si>
    <t>SBAS4</t>
  </si>
  <si>
    <t>SBAS5</t>
  </si>
  <si>
    <t>SBAS6</t>
  </si>
  <si>
    <t xml:space="preserve"> MARGINAL TAX RATE</t>
  </si>
  <si>
    <t>SMTR1</t>
  </si>
  <si>
    <t>SMTR2</t>
  </si>
  <si>
    <t>SMTR3</t>
  </si>
  <si>
    <t>SMTR4</t>
  </si>
  <si>
    <t>SMTR5</t>
  </si>
  <si>
    <t>SMTR6</t>
  </si>
  <si>
    <t>SBST1</t>
  </si>
  <si>
    <t>SBST2</t>
  </si>
  <si>
    <t>SBST3</t>
  </si>
  <si>
    <t>SBST4</t>
  </si>
  <si>
    <t>SBST5</t>
  </si>
  <si>
    <t>SBST6</t>
  </si>
  <si>
    <t>SOVR1</t>
  </si>
  <si>
    <t>SOVR2</t>
  </si>
  <si>
    <t>SOVR3</t>
  </si>
  <si>
    <t>SORV4</t>
  </si>
  <si>
    <t>SORV5</t>
  </si>
  <si>
    <t>SORV6</t>
  </si>
  <si>
    <t>STA1</t>
  </si>
  <si>
    <t>STA2</t>
  </si>
  <si>
    <t>STA3</t>
  </si>
  <si>
    <t>STA4</t>
  </si>
  <si>
    <t>STA5</t>
  </si>
  <si>
    <t>STA6</t>
  </si>
  <si>
    <t>STAX1</t>
  </si>
  <si>
    <t>STAX2</t>
  </si>
  <si>
    <t>STAX3</t>
  </si>
  <si>
    <t>STAX4</t>
  </si>
  <si>
    <t>STAX5</t>
  </si>
  <si>
    <t>STAX6</t>
  </si>
  <si>
    <t>M</t>
  </si>
  <si>
    <t>COBEN CASH on your earnings statement/direct deposit advice.</t>
  </si>
  <si>
    <t>(YES, NO)</t>
  </si>
  <si>
    <t>SDI</t>
  </si>
  <si>
    <t>SDI1</t>
  </si>
  <si>
    <t>SDIGRS</t>
  </si>
  <si>
    <t>SDI Withheld</t>
  </si>
  <si>
    <t>SDI %</t>
  </si>
  <si>
    <t>NO</t>
  </si>
  <si>
    <t>S</t>
  </si>
  <si>
    <t>Retirement Code</t>
  </si>
  <si>
    <t>AC</t>
  </si>
  <si>
    <t>EE Rate</t>
  </si>
  <si>
    <t>01</t>
  </si>
  <si>
    <t>02</t>
  </si>
  <si>
    <t>03</t>
  </si>
  <si>
    <t>04</t>
  </si>
  <si>
    <t>13</t>
  </si>
  <si>
    <t>14</t>
  </si>
  <si>
    <t>21</t>
  </si>
  <si>
    <t>22</t>
  </si>
  <si>
    <t>41</t>
  </si>
  <si>
    <t>44</t>
  </si>
  <si>
    <t>47</t>
  </si>
  <si>
    <t>4D</t>
  </si>
  <si>
    <t>4E</t>
  </si>
  <si>
    <t>4F</t>
  </si>
  <si>
    <t>4R</t>
  </si>
  <si>
    <t>4S</t>
  </si>
  <si>
    <t>4Y</t>
  </si>
  <si>
    <t>4Z</t>
  </si>
  <si>
    <t>91</t>
  </si>
  <si>
    <t>92</t>
  </si>
  <si>
    <t>95</t>
  </si>
  <si>
    <t>96</t>
  </si>
  <si>
    <t>98</t>
  </si>
  <si>
    <t>9D</t>
  </si>
  <si>
    <t>J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</si>
  <si>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</si>
  <si>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</si>
  <si>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</si>
  <si>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</si>
  <si>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</si>
  <si>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</si>
  <si>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</si>
  <si>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</si>
  <si>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</si>
  <si>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</si>
  <si>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</si>
  <si>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</si>
  <si>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</si>
  <si>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L</t>
  </si>
  <si>
    <t>LO</t>
  </si>
  <si>
    <t>N</t>
  </si>
  <si>
    <t>NA</t>
  </si>
  <si>
    <t>NM</t>
  </si>
  <si>
    <t>T</t>
  </si>
  <si>
    <t>TA</t>
  </si>
  <si>
    <t>TD</t>
  </si>
  <si>
    <t>TM</t>
  </si>
  <si>
    <t>TX</t>
  </si>
  <si>
    <t>TY</t>
  </si>
  <si>
    <t>15</t>
  </si>
  <si>
    <t>16</t>
  </si>
  <si>
    <t>31</t>
  </si>
  <si>
    <t>32</t>
  </si>
  <si>
    <t>34</t>
  </si>
  <si>
    <t>36</t>
  </si>
  <si>
    <t>39</t>
  </si>
  <si>
    <t>3A</t>
  </si>
  <si>
    <t>3B</t>
  </si>
  <si>
    <t>3E</t>
  </si>
  <si>
    <t>3F</t>
  </si>
  <si>
    <t>3G</t>
  </si>
  <si>
    <t>3H</t>
  </si>
  <si>
    <t>3N</t>
  </si>
  <si>
    <t>3P</t>
  </si>
  <si>
    <t>3Q</t>
  </si>
  <si>
    <t>3R</t>
  </si>
  <si>
    <t>3W</t>
  </si>
  <si>
    <t>3Z</t>
  </si>
  <si>
    <t>50</t>
  </si>
  <si>
    <t>51</t>
  </si>
  <si>
    <t>52</t>
  </si>
  <si>
    <t>53</t>
  </si>
  <si>
    <t>54</t>
  </si>
  <si>
    <t>63</t>
  </si>
  <si>
    <t>64</t>
  </si>
  <si>
    <t>86</t>
  </si>
  <si>
    <t>87</t>
  </si>
  <si>
    <t>88</t>
  </si>
  <si>
    <t>89</t>
  </si>
  <si>
    <t>06</t>
  </si>
  <si>
    <t>10</t>
  </si>
  <si>
    <t>11</t>
  </si>
  <si>
    <t>12</t>
  </si>
  <si>
    <t>17</t>
  </si>
  <si>
    <t>18</t>
  </si>
  <si>
    <t>19</t>
  </si>
  <si>
    <t>1A</t>
  </si>
  <si>
    <t>1B</t>
  </si>
  <si>
    <t>1C</t>
  </si>
  <si>
    <t>1D</t>
  </si>
  <si>
    <t>1E</t>
  </si>
  <si>
    <t>1F</t>
  </si>
  <si>
    <t>1G</t>
  </si>
  <si>
    <t>1H</t>
  </si>
  <si>
    <t>1J</t>
  </si>
  <si>
    <t>1K</t>
  </si>
  <si>
    <t>1L</t>
  </si>
  <si>
    <t>1M</t>
  </si>
  <si>
    <t>1N</t>
  </si>
  <si>
    <t>1P</t>
  </si>
  <si>
    <t>1Q</t>
  </si>
  <si>
    <t>1R</t>
  </si>
  <si>
    <t>1S</t>
  </si>
  <si>
    <t>1T</t>
  </si>
  <si>
    <t>1U</t>
  </si>
  <si>
    <t>1V</t>
  </si>
  <si>
    <t>1W</t>
  </si>
  <si>
    <t>1X</t>
  </si>
  <si>
    <t>1Y</t>
  </si>
  <si>
    <t>1Z</t>
  </si>
  <si>
    <t>20</t>
  </si>
  <si>
    <t>23</t>
  </si>
  <si>
    <t>2A</t>
  </si>
  <si>
    <t>2B</t>
  </si>
  <si>
    <t>2K</t>
  </si>
  <si>
    <t>2Q</t>
  </si>
  <si>
    <t>2S</t>
  </si>
  <si>
    <t>2T</t>
  </si>
  <si>
    <t>2U</t>
  </si>
  <si>
    <t>2V</t>
  </si>
  <si>
    <t>30</t>
  </si>
  <si>
    <t>33</t>
  </si>
  <si>
    <t>40</t>
  </si>
  <si>
    <t>42</t>
  </si>
  <si>
    <t>46</t>
  </si>
  <si>
    <t>48</t>
  </si>
  <si>
    <t>4C</t>
  </si>
  <si>
    <t>4K</t>
  </si>
  <si>
    <t>4M</t>
  </si>
  <si>
    <t>4N</t>
  </si>
  <si>
    <t>4U</t>
  </si>
  <si>
    <t>67</t>
  </si>
  <si>
    <t>68</t>
  </si>
  <si>
    <t>6J</t>
  </si>
  <si>
    <t>6K</t>
  </si>
  <si>
    <t>6L</t>
  </si>
  <si>
    <t>6M</t>
  </si>
  <si>
    <t>6P</t>
  </si>
  <si>
    <t>6R</t>
  </si>
  <si>
    <t>6V</t>
  </si>
  <si>
    <t>6W</t>
  </si>
  <si>
    <t>6X</t>
  </si>
  <si>
    <t>6Y</t>
  </si>
  <si>
    <t>6Z</t>
  </si>
  <si>
    <t>82</t>
  </si>
  <si>
    <t>83</t>
  </si>
  <si>
    <t>93</t>
  </si>
  <si>
    <t>97</t>
  </si>
  <si>
    <t>9E</t>
  </si>
  <si>
    <t>9F</t>
  </si>
  <si>
    <t>9H</t>
  </si>
  <si>
    <t>9J</t>
  </si>
  <si>
    <t>9R</t>
  </si>
  <si>
    <t>9S</t>
  </si>
  <si>
    <t>9T</t>
  </si>
  <si>
    <t>9V</t>
  </si>
  <si>
    <t>05</t>
  </si>
  <si>
    <t>07</t>
  </si>
  <si>
    <t>08</t>
  </si>
  <si>
    <t>09</t>
  </si>
  <si>
    <t>24</t>
  </si>
  <si>
    <t>25</t>
  </si>
  <si>
    <t>27</t>
  </si>
  <si>
    <t>2C</t>
  </si>
  <si>
    <t>2D</t>
  </si>
  <si>
    <t>2E</t>
  </si>
  <si>
    <t>2F</t>
  </si>
  <si>
    <t>2G</t>
  </si>
  <si>
    <t>2H</t>
  </si>
  <si>
    <t>2I</t>
  </si>
  <si>
    <t>2J</t>
  </si>
  <si>
    <t>2L</t>
  </si>
  <si>
    <t>2M</t>
  </si>
  <si>
    <t>2N</t>
  </si>
  <si>
    <t>2O</t>
  </si>
  <si>
    <t>2P</t>
  </si>
  <si>
    <t>2R</t>
  </si>
  <si>
    <t>2W</t>
  </si>
  <si>
    <t>2X</t>
  </si>
  <si>
    <t>2Y</t>
  </si>
  <si>
    <t>2Z</t>
  </si>
  <si>
    <t>3J</t>
  </si>
  <si>
    <t>3K</t>
  </si>
  <si>
    <t>3X</t>
  </si>
  <si>
    <t>3Y</t>
  </si>
  <si>
    <t>43</t>
  </si>
  <si>
    <t>45</t>
  </si>
  <si>
    <t>49</t>
  </si>
  <si>
    <t>4A</t>
  </si>
  <si>
    <t>4B</t>
  </si>
  <si>
    <t>4G</t>
  </si>
  <si>
    <t>4H</t>
  </si>
  <si>
    <t>4J</t>
  </si>
  <si>
    <t>4L</t>
  </si>
  <si>
    <t>4P</t>
  </si>
  <si>
    <t>4T</t>
  </si>
  <si>
    <t>4V</t>
  </si>
  <si>
    <t>4W</t>
  </si>
  <si>
    <t>4X</t>
  </si>
  <si>
    <t>57</t>
  </si>
  <si>
    <t>58</t>
  </si>
  <si>
    <t>5A</t>
  </si>
  <si>
    <t>5B</t>
  </si>
  <si>
    <t>5C</t>
  </si>
  <si>
    <t>5D</t>
  </si>
  <si>
    <t>5E</t>
  </si>
  <si>
    <t>5F</t>
  </si>
  <si>
    <t>5G</t>
  </si>
  <si>
    <t>5H</t>
  </si>
  <si>
    <t>5L</t>
  </si>
  <si>
    <t>5M</t>
  </si>
  <si>
    <t>5N</t>
  </si>
  <si>
    <t>5P</t>
  </si>
  <si>
    <t>5V</t>
  </si>
  <si>
    <t>5Y</t>
  </si>
  <si>
    <t>94</t>
  </si>
  <si>
    <t>99</t>
  </si>
  <si>
    <t>9A</t>
  </si>
  <si>
    <t>9B</t>
  </si>
  <si>
    <t>9C</t>
  </si>
  <si>
    <t>9G</t>
  </si>
  <si>
    <t>9K</t>
  </si>
  <si>
    <t>9L</t>
  </si>
  <si>
    <t>9M</t>
  </si>
  <si>
    <t>9N</t>
  </si>
  <si>
    <t>9P</t>
  </si>
  <si>
    <t>9W</t>
  </si>
  <si>
    <t>9X</t>
  </si>
  <si>
    <t>9Y</t>
  </si>
  <si>
    <t>AA</t>
  </si>
  <si>
    <t>AB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</si>
  <si>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</si>
  <si>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</si>
  <si>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</si>
  <si>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</si>
  <si>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</si>
  <si>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</si>
  <si>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</si>
  <si>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</si>
  <si>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</si>
  <si>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</si>
  <si>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</si>
  <si>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</si>
  <si>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</si>
  <si>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</si>
  <si>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</si>
  <si>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</si>
  <si>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</si>
  <si>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</si>
  <si>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</si>
  <si>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</si>
  <si>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</si>
  <si>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</si>
  <si>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</si>
  <si>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TE</t>
  </si>
  <si>
    <t>TF</t>
  </si>
  <si>
    <t>TG</t>
  </si>
  <si>
    <t>TH</t>
  </si>
  <si>
    <t>TJ</t>
  </si>
  <si>
    <t>TK</t>
  </si>
  <si>
    <t>TL</t>
  </si>
  <si>
    <t>TN</t>
  </si>
  <si>
    <t>TP</t>
  </si>
  <si>
    <t>TR</t>
  </si>
  <si>
    <t>TS</t>
  </si>
  <si>
    <t>TZ</t>
  </si>
  <si>
    <t>37</t>
  </si>
  <si>
    <t>3C</t>
  </si>
  <si>
    <t>3D</t>
  </si>
  <si>
    <t>3L</t>
  </si>
  <si>
    <t>3M</t>
  </si>
  <si>
    <t>3S</t>
  </si>
  <si>
    <t>3T</t>
  </si>
  <si>
    <t>3U</t>
  </si>
  <si>
    <t>3V</t>
  </si>
  <si>
    <t>55</t>
  </si>
  <si>
    <t>56</t>
  </si>
  <si>
    <t>5J</t>
  </si>
  <si>
    <t>5K</t>
  </si>
  <si>
    <t>5W</t>
  </si>
  <si>
    <t>5X</t>
  </si>
  <si>
    <t>61</t>
  </si>
  <si>
    <t>62</t>
  </si>
  <si>
    <t>6S</t>
  </si>
  <si>
    <t>6T</t>
  </si>
  <si>
    <t>Determined by Retirement Code</t>
  </si>
  <si>
    <t>Retirement Code - Please call your HR department for the Retirement Code</t>
  </si>
  <si>
    <t>NONE</t>
  </si>
  <si>
    <t>TC</t>
  </si>
  <si>
    <t>(M, S)</t>
  </si>
  <si>
    <t>Pay Frequency</t>
  </si>
  <si>
    <t>(M, S, B for Monthly, Semi-Monthly, and Bi-Weekly)</t>
  </si>
  <si>
    <t>s</t>
  </si>
  <si>
    <t>1st Half (1) or 2nd Half (2)</t>
  </si>
  <si>
    <t>This spreadsheet can be used to calculate net pay and withholding amounts for employees paid on a monthly,</t>
  </si>
  <si>
    <t xml:space="preserve">semi-monthly or bi-weekly basis.  By changing the marital status or number of exemptions, you can project </t>
  </si>
  <si>
    <t>your net and withholding amounts based on these changes.  The different rows of the spreadsheet show the</t>
  </si>
  <si>
    <t>various nets and withholding amounts based on the different deferred compensation or TSA  amounts at the</t>
  </si>
  <si>
    <t>head of the column ($0, $100.00, $200.00, $300.00, $500.00, $625.00).  You can use these amounts to compare</t>
  </si>
  <si>
    <t>differences if you are considering making changes to your deferred compensation or TSA withholding amount.</t>
  </si>
  <si>
    <t>retirement exclusion to apply to the only semi-monthly payment issued for that specific pay period.  If the employee received first</t>
  </si>
  <si>
    <t>half pay and you are calculating second half pay, you must enter 2 in A6 so that the retirement exclusion will not apply a second</t>
  </si>
  <si>
    <t xml:space="preserve">exclusion = $513,  no retirement will be withheld from the first half payment).  In this case, the remainder of the retirement </t>
  </si>
  <si>
    <t>exclusion ($113) will apply to the second half payment and at this time the calculator is not programed for this calculation.  Manual</t>
  </si>
  <si>
    <t>calculations will be required, see PPM Section H for federal and state tax calculation instructions.</t>
  </si>
  <si>
    <t>4Q</t>
  </si>
  <si>
    <t>0A</t>
  </si>
  <si>
    <t>0B</t>
  </si>
  <si>
    <t>0C</t>
  </si>
  <si>
    <t>0D</t>
  </si>
  <si>
    <t>0E</t>
  </si>
  <si>
    <t>0F</t>
  </si>
  <si>
    <t>0G</t>
  </si>
  <si>
    <t>0H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</si>
  <si>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</si>
  <si>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</si>
  <si>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</si>
  <si>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</si>
  <si>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</si>
  <si>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</si>
  <si>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</si>
  <si>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</si>
  <si>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</si>
  <si>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</si>
  <si>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</si>
  <si>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</si>
  <si>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HEAD OF HOUSEHOLD</t>
  </si>
  <si>
    <t>00</t>
  </si>
  <si>
    <t xml:space="preserve">amount at the head of the column.  (NOTE: Also use this field to enter PERS adjustments and PERS/STRS Retirement buy back shown as  </t>
  </si>
  <si>
    <t xml:space="preserve">*PERS ADJ, *PERSREDPST, or *STRS REDST on your earnings statement/direct deposit advice.  </t>
  </si>
  <si>
    <t>Federal High Wage</t>
  </si>
  <si>
    <t>Federal Claim Dependents</t>
  </si>
  <si>
    <t>Federal Other Income</t>
  </si>
  <si>
    <t>Federal Deductions</t>
  </si>
  <si>
    <t>SINGLE HIGH WAGE</t>
  </si>
  <si>
    <t>NEW YORK STATE TAX</t>
  </si>
  <si>
    <t>Additional Exemptions State</t>
  </si>
  <si>
    <t>Enter annual dollar amount, see instructions below.</t>
  </si>
  <si>
    <t>(Y, N or Blank)  See Instructions below.</t>
  </si>
  <si>
    <t>This field must be completed when using revised STD 686 or STD 457 effective 12/2020.</t>
  </si>
  <si>
    <t>NOTE: (If there is no taxable gross reflected for an A/R on your earnings statement it must be included in</t>
  </si>
  <si>
    <t>the Total Voluntary Deductions field.  Many accounts receivable deductions are one time and not</t>
  </si>
  <si>
    <t>ongoing.  In this case you may want to exclude these from the calculations.)</t>
  </si>
  <si>
    <t>Do not complete if using revised STD 686 or STD 457 effective 12/2020.</t>
  </si>
  <si>
    <t>B1</t>
  </si>
  <si>
    <t>B3</t>
  </si>
  <si>
    <t>B4</t>
  </si>
  <si>
    <t>B5</t>
  </si>
  <si>
    <t>B6</t>
  </si>
  <si>
    <t>B9</t>
  </si>
  <si>
    <t>RA</t>
  </si>
  <si>
    <t>RB</t>
  </si>
  <si>
    <t>RC</t>
  </si>
  <si>
    <t>RD</t>
  </si>
  <si>
    <t>RE</t>
  </si>
  <si>
    <t>RF</t>
  </si>
  <si>
    <t>RG</t>
  </si>
  <si>
    <t>RH</t>
  </si>
  <si>
    <t>C3</t>
  </si>
  <si>
    <t>C4</t>
  </si>
  <si>
    <t>C9</t>
  </si>
  <si>
    <t>CB</t>
  </si>
  <si>
    <t>CC</t>
  </si>
  <si>
    <t>CD</t>
  </si>
  <si>
    <t>CE</t>
  </si>
  <si>
    <t>CF</t>
  </si>
  <si>
    <t>CG</t>
  </si>
  <si>
    <t>CH</t>
  </si>
  <si>
    <t>CJ</t>
  </si>
  <si>
    <t>CK</t>
  </si>
  <si>
    <t>CL</t>
  </si>
  <si>
    <t>CP</t>
  </si>
  <si>
    <t>CQ</t>
  </si>
  <si>
    <t>CR</t>
  </si>
  <si>
    <t>CS</t>
  </si>
  <si>
    <t>CT</t>
  </si>
  <si>
    <t>CV</t>
  </si>
  <si>
    <t>CW</t>
  </si>
  <si>
    <t>CX</t>
  </si>
  <si>
    <t>CY</t>
  </si>
  <si>
    <t>CZ</t>
  </si>
  <si>
    <t>D4</t>
  </si>
  <si>
    <t>D5</t>
  </si>
  <si>
    <t>D7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</si>
  <si>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</si>
  <si>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</si>
  <si>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</si>
  <si>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</si>
  <si>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</si>
  <si>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</si>
  <si>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</si>
  <si>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</si>
  <si>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</si>
  <si>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</si>
  <si>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</si>
  <si>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</si>
  <si>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</si>
  <si>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DO</t>
  </si>
  <si>
    <t>DP</t>
  </si>
  <si>
    <t>DQ</t>
  </si>
  <si>
    <t>DR</t>
  </si>
  <si>
    <t>DS</t>
  </si>
  <si>
    <t>DV</t>
  </si>
  <si>
    <t>DW</t>
  </si>
  <si>
    <t>E0</t>
  </si>
  <si>
    <t>E6</t>
  </si>
  <si>
    <t>EA</t>
  </si>
  <si>
    <t>EB</t>
  </si>
  <si>
    <t>EC</t>
  </si>
  <si>
    <t>ED</t>
  </si>
  <si>
    <t>EE</t>
  </si>
  <si>
    <t>EF</t>
  </si>
  <si>
    <t>EM</t>
  </si>
  <si>
    <t>ES</t>
  </si>
  <si>
    <t>ET</t>
  </si>
  <si>
    <t>EV</t>
  </si>
  <si>
    <t>EY</t>
  </si>
  <si>
    <t>F0</t>
  </si>
  <si>
    <t>F1</t>
  </si>
  <si>
    <t>F2</t>
  </si>
  <si>
    <t>F4</t>
  </si>
  <si>
    <t>F5</t>
  </si>
  <si>
    <t>F7</t>
  </si>
  <si>
    <t>F8</t>
  </si>
  <si>
    <t>F9</t>
  </si>
  <si>
    <t>FA</t>
  </si>
  <si>
    <t>FB</t>
  </si>
  <si>
    <t>FD</t>
  </si>
  <si>
    <t>FF</t>
  </si>
  <si>
    <t>FG</t>
  </si>
  <si>
    <t>FH</t>
  </si>
  <si>
    <t>FL</t>
  </si>
  <si>
    <t>FP</t>
  </si>
  <si>
    <t>FR</t>
  </si>
  <si>
    <t>FS</t>
  </si>
  <si>
    <t>FT</t>
  </si>
  <si>
    <t>FV</t>
  </si>
  <si>
    <t>FW</t>
  </si>
  <si>
    <t>FX</t>
  </si>
  <si>
    <t>FY</t>
  </si>
  <si>
    <t>G5</t>
  </si>
  <si>
    <t>GB</t>
  </si>
  <si>
    <t>GC</t>
  </si>
  <si>
    <t>GD</t>
  </si>
  <si>
    <t>GE</t>
  </si>
  <si>
    <t>GF</t>
  </si>
  <si>
    <t>GG</t>
  </si>
  <si>
    <t>GH</t>
  </si>
  <si>
    <t>GJ</t>
  </si>
  <si>
    <t>GK</t>
  </si>
  <si>
    <t>GV</t>
  </si>
  <si>
    <t>GX</t>
  </si>
  <si>
    <t>H1</t>
  </si>
  <si>
    <t>H2</t>
  </si>
  <si>
    <t>HJ</t>
  </si>
  <si>
    <t>HL</t>
  </si>
  <si>
    <t>HP</t>
  </si>
  <si>
    <t>HR</t>
  </si>
  <si>
    <t>HS</t>
  </si>
  <si>
    <t>HT</t>
  </si>
  <si>
    <t>HX</t>
  </si>
  <si>
    <t>HY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</si>
  <si>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</si>
  <si>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</si>
  <si>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</si>
  <si>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</si>
  <si>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</si>
  <si>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</si>
  <si>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</si>
  <si>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</si>
  <si>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</si>
  <si>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</si>
  <si>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</si>
  <si>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</si>
  <si>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P2</t>
  </si>
  <si>
    <t>P5</t>
  </si>
  <si>
    <t>P6</t>
  </si>
  <si>
    <t>P7</t>
  </si>
  <si>
    <t>P8</t>
  </si>
  <si>
    <t>PA</t>
  </si>
  <si>
    <t>PB</t>
  </si>
  <si>
    <t>PC</t>
  </si>
  <si>
    <t>PD</t>
  </si>
  <si>
    <t>PE</t>
  </si>
  <si>
    <t>PF</t>
  </si>
  <si>
    <t>PG</t>
  </si>
  <si>
    <t>PH</t>
  </si>
  <si>
    <t>PJ</t>
  </si>
  <si>
    <t>PL</t>
  </si>
  <si>
    <t>PM</t>
  </si>
  <si>
    <t>PN</t>
  </si>
  <si>
    <t>PP</t>
  </si>
  <si>
    <t>PR</t>
  </si>
  <si>
    <t>PS</t>
  </si>
  <si>
    <t>PT</t>
  </si>
  <si>
    <t>PV</t>
  </si>
  <si>
    <t>PW</t>
  </si>
  <si>
    <t>PX</t>
  </si>
  <si>
    <t>PY</t>
  </si>
  <si>
    <t>OPEB CBID</t>
  </si>
  <si>
    <t>OPEB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</si>
  <si>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</si>
  <si>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</si>
  <si>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</si>
  <si>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</si>
  <si>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</si>
  <si>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</si>
  <si>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</si>
  <si>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</si>
  <si>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</si>
  <si>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</si>
  <si>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</si>
  <si>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</si>
  <si>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</si>
  <si>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</si>
  <si>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</si>
  <si>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</si>
  <si>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</si>
  <si>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</si>
  <si>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</si>
  <si>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</si>
  <si>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</si>
  <si>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</si>
  <si>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</si>
  <si>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</si>
  <si>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</si>
  <si>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</si>
  <si>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</si>
  <si>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</si>
  <si>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</si>
  <si>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</si>
  <si>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</si>
  <si>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</si>
  <si>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</si>
  <si>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</si>
  <si>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</si>
  <si>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</si>
  <si>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</si>
  <si>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</si>
  <si>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</si>
  <si>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</si>
  <si>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</si>
  <si>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</si>
  <si>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E48</t>
  </si>
  <si>
    <t>E50</t>
  </si>
  <si>
    <t>E58</t>
  </si>
  <si>
    <t>E59</t>
  </si>
  <si>
    <t>E67</t>
  </si>
  <si>
    <t>E68</t>
  </si>
  <si>
    <t>E77</t>
  </si>
  <si>
    <t>E78</t>
  </si>
  <si>
    <t>E79</t>
  </si>
  <si>
    <t>E88</t>
  </si>
  <si>
    <t>E89</t>
  </si>
  <si>
    <t>E97</t>
  </si>
  <si>
    <t>E98</t>
  </si>
  <si>
    <t>E99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</si>
  <si>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</si>
  <si>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</si>
  <si>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</si>
  <si>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</si>
  <si>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</si>
  <si>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</si>
  <si>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</si>
  <si>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</si>
  <si>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</si>
  <si>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</si>
  <si>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</si>
  <si>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</si>
  <si>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</si>
  <si>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</si>
  <si>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</si>
  <si>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</si>
  <si>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</si>
  <si>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</si>
  <si>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</si>
  <si>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</si>
  <si>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</si>
  <si>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NON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</si>
  <si>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</si>
  <si>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</si>
  <si>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</si>
  <si>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</si>
  <si>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</si>
  <si>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</si>
  <si>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</si>
  <si>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</si>
  <si>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</si>
  <si>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</si>
  <si>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</si>
  <si>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</si>
  <si>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</si>
  <si>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</si>
  <si>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</si>
  <si>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</si>
  <si>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</si>
  <si>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</si>
  <si>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</si>
  <si>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</si>
  <si>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</si>
  <si>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</si>
  <si>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</si>
  <si>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</si>
  <si>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</si>
  <si>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</si>
  <si>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</si>
  <si>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</si>
  <si>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</si>
  <si>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</si>
  <si>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</si>
  <si>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</si>
  <si>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</si>
  <si>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</si>
  <si>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</si>
  <si>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</si>
  <si>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</si>
  <si>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</si>
  <si>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</si>
  <si>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</si>
  <si>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</si>
  <si>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</si>
  <si>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OPEB Withheld</t>
  </si>
  <si>
    <t>OPEB CBID - Please call your HR department for your OPEB CBID.  Enter "Non" if you are not subject to OPEB contributions.</t>
  </si>
  <si>
    <t>5R</t>
  </si>
  <si>
    <t>5S</t>
  </si>
  <si>
    <t>GR</t>
  </si>
  <si>
    <t>GS</t>
  </si>
  <si>
    <t xml:space="preserve">Deduction Examples: Health, Dental, Vision, Medical Reimbursement Account, Dependent Care Reimbursement  </t>
  </si>
  <si>
    <t>accounts receivable deductions with no taxable gross etc…</t>
  </si>
  <si>
    <r>
      <t>Gross Pay</t>
    </r>
    <r>
      <rPr>
        <sz val="12"/>
        <rFont val="Calibri"/>
        <family val="2"/>
      </rPr>
      <t>-Enter your gross monthly pay.  This amount is shown on your earnings statement/direct deposit advice</t>
    </r>
  </si>
  <si>
    <r>
      <t xml:space="preserve">1st Half (1) or 2nd Half (2)- </t>
    </r>
    <r>
      <rPr>
        <sz val="12"/>
        <rFont val="Calibri"/>
        <family val="2"/>
      </rPr>
      <t xml:space="preserve"> If employee is semi-monthly, you must enter 1 in A6 to allow the retirement exclusion</t>
    </r>
  </si>
  <si>
    <r>
      <t>(</t>
    </r>
    <r>
      <rPr>
        <sz val="12"/>
        <color indexed="62"/>
        <rFont val="Calibri"/>
        <family val="2"/>
      </rPr>
      <t>e.g</t>
    </r>
    <r>
      <rPr>
        <sz val="12"/>
        <rFont val="Calibri"/>
        <family val="2"/>
      </rPr>
      <t xml:space="preserve">. </t>
    </r>
    <r>
      <rPr>
        <sz val="12"/>
        <color indexed="10"/>
        <rFont val="Calibri"/>
        <family val="2"/>
      </rPr>
      <t>-$513</t>
    </r>
    <r>
      <rPr>
        <sz val="12"/>
        <rFont val="Calibri"/>
        <family val="2"/>
      </rPr>
      <t xml:space="preserve">) to apply appropriately.  If the employee is only receiving second half pay, you must enter 1 in A6 to allow the </t>
    </r>
  </si>
  <si>
    <r>
      <t xml:space="preserve">time to the calcuations.  If the full amount of the retirement exclusion was not applied to the first half payment, </t>
    </r>
    <r>
      <rPr>
        <b/>
        <sz val="12"/>
        <rFont val="Calibri"/>
        <family val="2"/>
      </rPr>
      <t>you should not</t>
    </r>
  </si>
  <si>
    <r>
      <t xml:space="preserve">use the calculator to appropriately calculate the second half payment </t>
    </r>
    <r>
      <rPr>
        <sz val="12"/>
        <rFont val="Calibri"/>
        <family val="2"/>
      </rPr>
      <t xml:space="preserve">(e.g. first half gross = $400 and retirement </t>
    </r>
  </si>
  <si>
    <r>
      <t>Social Security/Medicare</t>
    </r>
    <r>
      <rPr>
        <sz val="12"/>
        <rFont val="Calibri"/>
        <family val="2"/>
      </rPr>
      <t>-Retirement Code driven (SS = Both, Med = Medicare Only, NO = Neither)</t>
    </r>
  </si>
  <si>
    <r>
      <t>Federal Marital Status</t>
    </r>
    <r>
      <rPr>
        <sz val="12"/>
        <rFont val="Calibri"/>
        <family val="2"/>
      </rPr>
      <t>-Enter any status (M=married, S=single, H=head of household) you want to check rates on.</t>
    </r>
  </si>
  <si>
    <r>
      <t>Number of Exemptions Fed</t>
    </r>
    <r>
      <rPr>
        <sz val="12"/>
        <rFont val="Calibri"/>
        <family val="2"/>
      </rPr>
      <t>-Enter the number of exemptions you want to compute federal tax with.</t>
    </r>
  </si>
  <si>
    <r>
      <t>Federal High Wage</t>
    </r>
    <r>
      <rPr>
        <sz val="12"/>
        <rFont val="Calibri"/>
        <family val="2"/>
      </rPr>
      <t>-Enter Y (Yes) for higher tax withholding, enter N (No) for not to higher tax withholding.</t>
    </r>
  </si>
  <si>
    <r>
      <t>Federal Claim Dependents</t>
    </r>
    <r>
      <rPr>
        <sz val="12"/>
        <rFont val="Calibri"/>
        <family val="2"/>
      </rPr>
      <t>-Enter annual amount for Child Tax Credit and the credits for other dependents.</t>
    </r>
  </si>
  <si>
    <r>
      <t>Federal Other Income</t>
    </r>
    <r>
      <rPr>
        <sz val="12"/>
        <rFont val="Calibri"/>
        <family val="2"/>
      </rPr>
      <t>-Enter dollar amount for other income for the year, do not include income from other jobs.</t>
    </r>
  </si>
  <si>
    <r>
      <t>Federal Deductions</t>
    </r>
    <r>
      <rPr>
        <sz val="12"/>
        <rFont val="Calibri"/>
        <family val="2"/>
      </rPr>
      <t>-Enter amount for other than the basic standard deductions.</t>
    </r>
  </si>
  <si>
    <r>
      <t>State Marital Status</t>
    </r>
    <r>
      <rPr>
        <sz val="12"/>
        <rFont val="Calibri"/>
        <family val="2"/>
      </rPr>
      <t>-Enter any status you want to check rates on. (NOTE: This calculates only California state tax.)</t>
    </r>
  </si>
  <si>
    <r>
      <t>Number of Exemptions State</t>
    </r>
    <r>
      <rPr>
        <sz val="12"/>
        <rFont val="Calibri"/>
        <family val="2"/>
      </rPr>
      <t xml:space="preserve">-Enter the number of exemptions you want to compute state tax with. (California only) </t>
    </r>
  </si>
  <si>
    <r>
      <t>Additional Exemptions State</t>
    </r>
    <r>
      <rPr>
        <sz val="12"/>
        <rFont val="Calibri"/>
        <family val="2"/>
      </rPr>
      <t>-Enter the number of additional exemptions you want to compute state tax with. (Calif. only)</t>
    </r>
  </si>
  <si>
    <r>
      <t>SDI</t>
    </r>
    <r>
      <rPr>
        <sz val="12"/>
        <rFont val="Calibri"/>
        <family val="2"/>
      </rPr>
      <t>-Enter YES if you are covered by the SDI program, enter NO if you are not.</t>
    </r>
  </si>
  <si>
    <r>
      <t>Flex Cash Option</t>
    </r>
    <r>
      <rPr>
        <sz val="12"/>
        <rFont val="Calibri"/>
        <family val="2"/>
      </rPr>
      <t xml:space="preserve">-Enter the amount of flex cash option that you receive.  This shows as FLEX CASH or </t>
    </r>
  </si>
  <si>
    <r>
      <t>Total Other Flex Deductions (Pre-Tax)</t>
    </r>
    <r>
      <rPr>
        <sz val="12"/>
        <rFont val="Calibri"/>
        <family val="2"/>
      </rPr>
      <t xml:space="preserve">-Enter the sum of all flex deductions as indicated by the  " * "  next to it </t>
    </r>
  </si>
  <si>
    <t>EXCEPTIONS: FLEX CASH, COBEN CASH, OPEB, *TSA, *DC-457, *457, *401K, *403B, *PERSREDPST or *STRS REDST.</t>
  </si>
  <si>
    <r>
      <t>Total A/R Deductions</t>
    </r>
    <r>
      <rPr>
        <sz val="12"/>
        <rFont val="Calibri"/>
        <family val="2"/>
      </rPr>
      <t>-Enter the sum of all accounts receivable deductions that you wish to use in this</t>
    </r>
  </si>
  <si>
    <r>
      <t>Total Voluntary Deductions (Post-Tax)</t>
    </r>
    <r>
      <rPr>
        <sz val="12"/>
        <rFont val="Calibri"/>
        <family val="2"/>
      </rPr>
      <t xml:space="preserve">-Enter the sum of all other deductions you have that are not covered in the </t>
    </r>
  </si>
  <si>
    <t xml:space="preserve">categories above (exluding all *). These may include things such as credit union deductions, union dues, administrative fees, </t>
  </si>
  <si>
    <r>
      <t>Deferred Comp/TSA</t>
    </r>
    <r>
      <rPr>
        <u/>
        <sz val="12"/>
        <rFont val="Calibri"/>
        <family val="2"/>
      </rPr>
      <t>**</t>
    </r>
    <r>
      <rPr>
        <sz val="12"/>
        <rFont val="Calibri"/>
        <family val="2"/>
      </rPr>
      <t>-Use this field to enter any Deferred Compensation/TSA amount that you want to see calculations</t>
    </r>
  </si>
  <si>
    <t>Contact your HR for Retirement Code.</t>
  </si>
  <si>
    <t>Contact your HR for OPEB CBID.</t>
  </si>
  <si>
    <t>If Monthly or Bi-Weekly, leave blank.  If Semi-Monthly, see instructions below.</t>
  </si>
  <si>
    <t>Shown as FLEX CASH or COBEN CASH.</t>
  </si>
  <si>
    <t>See instructions below.</t>
  </si>
  <si>
    <t>Account Receivable deduction (Shown as ACCT RCVBL)</t>
  </si>
  <si>
    <t>Rev. 7/1/23</t>
  </si>
  <si>
    <t>RETID_TABLE</t>
  </si>
  <si>
    <t>OPEB_TABLE</t>
  </si>
  <si>
    <t>Excl. Amt.</t>
  </si>
  <si>
    <t>FEDERAL TAX</t>
  </si>
  <si>
    <t>STATE TAX</t>
  </si>
  <si>
    <t>TAXABLE GROSS</t>
  </si>
  <si>
    <t>BASE AMOUNT</t>
  </si>
  <si>
    <t>BASE TAX AMOUNT</t>
  </si>
  <si>
    <t>OVER BASE AMOUNT</t>
  </si>
  <si>
    <t>ANNUALIZED TAX</t>
  </si>
  <si>
    <t>PAY PERIOD TAX</t>
  </si>
  <si>
    <t>TAX CREDIT TABLE</t>
  </si>
  <si>
    <t xml:space="preserve"> ------- NUMBER OF ALLOWANCES -------</t>
  </si>
  <si>
    <t>M/H</t>
  </si>
  <si>
    <t>GN</t>
  </si>
  <si>
    <t>Social Security/Medicare</t>
  </si>
  <si>
    <t>CALIFORNIA STATE CONTROLLER'S OFFICE PAYCHECK CALCULATOR - 2023 (eff. 10/1)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</si>
</sst>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164" formatCode="#,##0.00\ ;\(#,##0.00\)"/>
    <numFmt numFmtId="165" formatCode="#,##0\ ;\(#,##0\)"/>
    <numFmt numFmtId="166" formatCode="#,##0.0000\ ;\(#,##0.0000\)"/>
    <numFmt numFmtId="167" formatCode="0.000"/>
    <numFmt numFmtId="168" formatCode="0_);\(0\)"/>
    <numFmt numFmtId="169" formatCode="0.0000"/>
    <numFmt numFmtId="170" formatCode="0.00000"/>
    <numFmt numFmtId="171" formatCode="#,##0.000_);\(#,##0.000\)"/>
  </numFmts>
  <fonts count="20">
    <font>
      <sz val="12"/>
      <name val="Tms Rmn"/>
    </font>
    <font>
      <b/>
      <sz val="12"/>
      <name val="Calibri"/>
      <family val="2"/>
    </font>
    <font>
      <sz val="12"/>
      <name val="Calibri"/>
      <family val="2"/>
    </font>
    <font>
      <sz val="12"/>
      <color indexed="62"/>
      <name val="Calibri"/>
      <family val="2"/>
    </font>
    <font>
      <sz val="12"/>
      <color indexed="10"/>
      <name val="Calibri"/>
      <family val="2"/>
    </font>
    <font>
      <u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2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20"/>
      <name val="Calibri"/>
      <family val="2"/>
      <scheme val="minor"/>
    </font>
    <font>
      <sz val="12"/>
      <color indexed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Palatino"/>
    </font>
    <font>
      <sz val="10"/>
      <name val="Calibri"/>
      <family val="2"/>
      <scheme val="minor"/>
    </font>
    <font>
      <sz val="12"/>
      <name val="Tms Rmn"/>
    </font>
    <font>
      <sz val="12"/>
      <color theme="1"/>
      <name val="Calibri"/>
      <family val="2"/>
    </font>
    <font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lightUp">
        <fgColor indexed="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/>
      <top/>
      <bottom/>
      <diagonal/>
    </border>
    <border>
      <left/>
      <right style="medium">
        <color indexed="21"/>
      </right>
      <top/>
      <bottom/>
      <diagonal/>
    </border>
    <border>
      <left/>
      <right/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21"/>
      </bottom>
      <diagonal/>
    </border>
    <border>
      <left/>
      <right/>
      <top style="thin">
        <color indexed="64"/>
      </top>
      <bottom/>
      <diagonal/>
    </border>
    <border>
      <left style="medium">
        <color indexed="21"/>
      </left>
      <right style="medium">
        <color indexed="21"/>
      </right>
      <top style="thin">
        <color indexed="64"/>
      </top>
      <bottom/>
      <diagonal/>
    </border>
    <border>
      <left/>
      <right style="medium">
        <color indexed="2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21"/>
      </left>
      <right style="medium">
        <color indexed="21"/>
      </right>
      <top/>
      <bottom style="thin">
        <color indexed="64"/>
      </bottom>
      <diagonal/>
    </border>
    <border>
      <left/>
      <right style="medium">
        <color indexed="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9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166" fontId="7" fillId="0" borderId="0" xfId="0" applyNumberFormat="1" applyFont="1"/>
    <xf numFmtId="14" fontId="7" fillId="0" borderId="0" xfId="0" applyNumberFormat="1" applyFont="1" applyAlignment="1">
      <alignment horizontal="left"/>
    </xf>
    <xf numFmtId="164" fontId="7" fillId="0" borderId="0" xfId="0" applyNumberFormat="1" applyFont="1"/>
    <xf numFmtId="0" fontId="7" fillId="0" borderId="1" xfId="0" applyFont="1" applyBorder="1" applyAlignment="1">
      <alignment horizontal="left"/>
    </xf>
    <xf numFmtId="7" fontId="8" fillId="0" borderId="2" xfId="0" applyNumberFormat="1" applyFont="1" applyBorder="1" applyAlignment="1" applyProtection="1">
      <alignment horizontal="right"/>
      <protection locked="0"/>
    </xf>
    <xf numFmtId="0" fontId="7" fillId="0" borderId="1" xfId="0" applyFont="1" applyBorder="1"/>
    <xf numFmtId="0" fontId="7" fillId="0" borderId="3" xfId="0" applyFont="1" applyBorder="1"/>
    <xf numFmtId="168" fontId="8" fillId="0" borderId="4" xfId="0" applyNumberFormat="1" applyFont="1" applyBorder="1" applyAlignment="1" applyProtection="1">
      <alignment horizontal="right"/>
      <protection locked="0"/>
    </xf>
    <xf numFmtId="0" fontId="7" fillId="0" borderId="5" xfId="0" applyFont="1" applyBorder="1" applyAlignment="1">
      <alignment horizontal="left"/>
    </xf>
    <xf numFmtId="0" fontId="7" fillId="0" borderId="6" xfId="0" applyFont="1" applyBorder="1"/>
    <xf numFmtId="49" fontId="8" fillId="0" borderId="4" xfId="0" applyNumberFormat="1" applyFont="1" applyBorder="1" applyAlignment="1" applyProtection="1">
      <alignment horizontal="right"/>
      <protection locked="0"/>
    </xf>
    <xf numFmtId="0" fontId="7" fillId="5" borderId="0" xfId="0" applyFont="1" applyFill="1"/>
    <xf numFmtId="0" fontId="7" fillId="0" borderId="0" xfId="0" applyFont="1" applyAlignment="1">
      <alignment horizontal="right"/>
    </xf>
    <xf numFmtId="0" fontId="8" fillId="0" borderId="4" xfId="0" applyFont="1" applyBorder="1" applyAlignment="1" applyProtection="1">
      <alignment horizontal="right"/>
      <protection locked="0"/>
    </xf>
    <xf numFmtId="39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8" fillId="0" borderId="4" xfId="0" applyFont="1" applyBorder="1" applyAlignment="1">
      <alignment horizontal="right"/>
    </xf>
    <xf numFmtId="167" fontId="7" fillId="0" borderId="0" xfId="0" applyNumberFormat="1" applyFont="1"/>
    <xf numFmtId="165" fontId="7" fillId="0" borderId="0" xfId="0" applyNumberFormat="1" applyFont="1"/>
    <xf numFmtId="0" fontId="9" fillId="0" borderId="0" xfId="0" applyFont="1"/>
    <xf numFmtId="7" fontId="7" fillId="0" borderId="0" xfId="0" applyNumberFormat="1" applyFont="1"/>
    <xf numFmtId="7" fontId="7" fillId="2" borderId="0" xfId="0" applyNumberFormat="1" applyFont="1" applyFill="1"/>
    <xf numFmtId="39" fontId="7" fillId="0" borderId="0" xfId="0" applyNumberFormat="1" applyFont="1"/>
    <xf numFmtId="7" fontId="7" fillId="3" borderId="0" xfId="0" applyNumberFormat="1" applyFont="1" applyFill="1"/>
    <xf numFmtId="171" fontId="7" fillId="0" borderId="0" xfId="0" applyNumberFormat="1" applyFont="1"/>
    <xf numFmtId="7" fontId="7" fillId="0" borderId="6" xfId="0" applyNumberFormat="1" applyFont="1" applyBorder="1"/>
    <xf numFmtId="169" fontId="7" fillId="0" borderId="0" xfId="0" applyNumberFormat="1" applyFont="1"/>
    <xf numFmtId="7" fontId="8" fillId="0" borderId="4" xfId="0" applyNumberFormat="1" applyFont="1" applyBorder="1" applyAlignment="1" applyProtection="1">
      <alignment horizontal="right"/>
      <protection locked="0"/>
    </xf>
    <xf numFmtId="0" fontId="10" fillId="0" borderId="0" xfId="0" applyFont="1" applyAlignment="1">
      <alignment vertical="center"/>
    </xf>
    <xf numFmtId="0" fontId="7" fillId="0" borderId="7" xfId="0" applyFont="1" applyBorder="1" applyAlignment="1">
      <alignment horizontal="left"/>
    </xf>
    <xf numFmtId="7" fontId="11" fillId="0" borderId="8" xfId="0" applyNumberFormat="1" applyFont="1" applyBorder="1" applyProtection="1">
      <protection locked="0"/>
    </xf>
    <xf numFmtId="7" fontId="6" fillId="0" borderId="9" xfId="0" applyNumberFormat="1" applyFont="1" applyBorder="1" applyProtection="1">
      <protection locked="0"/>
    </xf>
    <xf numFmtId="0" fontId="12" fillId="0" borderId="0" xfId="0" applyFont="1" applyAlignment="1">
      <alignment horizontal="left"/>
    </xf>
    <xf numFmtId="7" fontId="12" fillId="0" borderId="10" xfId="0" applyNumberFormat="1" applyFont="1" applyBorder="1"/>
    <xf numFmtId="7" fontId="7" fillId="4" borderId="10" xfId="0" applyNumberFormat="1" applyFont="1" applyFill="1" applyBorder="1"/>
    <xf numFmtId="7" fontId="7" fillId="0" borderId="10" xfId="0" applyNumberFormat="1" applyFont="1" applyBorder="1"/>
    <xf numFmtId="7" fontId="7" fillId="0" borderId="11" xfId="0" applyNumberFormat="1" applyFont="1" applyBorder="1"/>
    <xf numFmtId="170" fontId="7" fillId="0" borderId="0" xfId="0" applyNumberFormat="1" applyFont="1"/>
    <xf numFmtId="164" fontId="7" fillId="0" borderId="0" xfId="0" applyNumberFormat="1" applyFont="1" applyAlignment="1">
      <alignment horizontal="left"/>
    </xf>
    <xf numFmtId="0" fontId="7" fillId="0" borderId="12" xfId="0" applyFont="1" applyBorder="1" applyAlignment="1">
      <alignment horizontal="left"/>
    </xf>
    <xf numFmtId="0" fontId="8" fillId="0" borderId="13" xfId="0" applyFont="1" applyBorder="1" applyAlignment="1" applyProtection="1">
      <alignment horizontal="right"/>
      <protection locked="0"/>
    </xf>
    <xf numFmtId="0" fontId="7" fillId="0" borderId="12" xfId="0" applyFont="1" applyBorder="1"/>
    <xf numFmtId="0" fontId="7" fillId="0" borderId="14" xfId="0" applyFont="1" applyBorder="1"/>
    <xf numFmtId="0" fontId="7" fillId="0" borderId="15" xfId="0" applyFont="1" applyBorder="1" applyAlignment="1">
      <alignment horizontal="left"/>
    </xf>
    <xf numFmtId="0" fontId="8" fillId="0" borderId="16" xfId="0" applyFont="1" applyBorder="1" applyAlignment="1" applyProtection="1">
      <alignment horizontal="right"/>
      <protection locked="0"/>
    </xf>
    <xf numFmtId="0" fontId="7" fillId="0" borderId="15" xfId="0" applyFont="1" applyBorder="1"/>
    <xf numFmtId="0" fontId="7" fillId="0" borderId="17" xfId="0" applyFont="1" applyBorder="1"/>
    <xf numFmtId="0" fontId="7" fillId="5" borderId="0" xfId="0" applyFont="1" applyFill="1" applyAlignment="1">
      <alignment horizontal="left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6" fillId="0" borderId="0" xfId="0" applyFont="1"/>
    <xf numFmtId="0" fontId="6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7" fillId="0" borderId="18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7" fillId="0" borderId="20" xfId="0" applyFont="1" applyBorder="1"/>
    <xf numFmtId="0" fontId="7" fillId="0" borderId="21" xfId="0" applyFont="1" applyBorder="1" applyAlignment="1">
      <alignment horizontal="right"/>
    </xf>
    <xf numFmtId="0" fontId="7" fillId="0" borderId="22" xfId="0" applyFont="1" applyBorder="1"/>
    <xf numFmtId="0" fontId="7" fillId="0" borderId="23" xfId="0" applyFont="1" applyBorder="1"/>
    <xf numFmtId="10" fontId="7" fillId="0" borderId="0" xfId="1" applyNumberFormat="1" applyFont="1" applyFill="1"/>
    <xf numFmtId="0" fontId="7" fillId="0" borderId="24" xfId="0" applyFont="1" applyBorder="1"/>
    <xf numFmtId="10" fontId="7" fillId="0" borderId="0" xfId="1" applyNumberFormat="1" applyFont="1" applyFill="1" applyBorder="1"/>
    <xf numFmtId="0" fontId="7" fillId="0" borderId="25" xfId="0" applyFont="1" applyBorder="1"/>
    <xf numFmtId="10" fontId="7" fillId="0" borderId="15" xfId="1" applyNumberFormat="1" applyFont="1" applyFill="1" applyBorder="1"/>
    <xf numFmtId="0" fontId="7" fillId="0" borderId="26" xfId="0" applyFont="1" applyBorder="1"/>
    <xf numFmtId="0" fontId="7" fillId="0" borderId="0" xfId="0" applyFont="1" applyAlignment="1">
      <alignment horizontal="center"/>
    </xf>
    <xf numFmtId="2" fontId="7" fillId="0" borderId="0" xfId="0" applyNumberFormat="1" applyFont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7" fillId="0" borderId="29" xfId="0" applyFont="1" applyBorder="1" applyAlignment="1">
      <alignment horizontal="centerContinuous"/>
    </xf>
    <xf numFmtId="0" fontId="7" fillId="0" borderId="30" xfId="0" applyFont="1" applyBorder="1" applyAlignment="1">
      <alignment horizontal="center"/>
    </xf>
    <xf numFmtId="0" fontId="7" fillId="0" borderId="24" xfId="0" applyFont="1" applyBorder="1" applyAlignment="1">
      <alignment horizontal="centerContinuous"/>
    </xf>
    <xf numFmtId="0" fontId="7" fillId="0" borderId="3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9" fillId="6" borderId="4" xfId="0" applyFont="1" applyFill="1" applyBorder="1" applyAlignment="1">
      <alignment horizontal="right"/>
    </xf>
    <xf numFmtId="0" fontId="2" fillId="0" borderId="20" xfId="0" applyFont="1" applyBorder="1" applyAlignment="1">
      <alignment horizontal="left"/>
    </xf>
    <xf numFmtId="0" fontId="2" fillId="0" borderId="22" xfId="0" applyFont="1" applyBorder="1" applyAlignment="1">
      <alignment horizontal="right"/>
    </xf>
    <xf numFmtId="0" fontId="18" fillId="0" borderId="23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167" fontId="18" fillId="0" borderId="24" xfId="0" applyNumberFormat="1" applyFont="1" applyBorder="1" applyAlignment="1">
      <alignment horizontal="right" vertical="center"/>
    </xf>
    <xf numFmtId="167" fontId="2" fillId="0" borderId="24" xfId="0" applyNumberFormat="1" applyFont="1" applyBorder="1"/>
    <xf numFmtId="167" fontId="18" fillId="0" borderId="26" xfId="0" applyNumberFormat="1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550"/>
  <sheetViews>
    <sheetView showGridLines="0" tabSelected="1" zoomScaleNormal="100" workbookViewId="0">
      <selection activeCell="B3" sqref="B3"/>
    </sheetView>
  </sheetViews>
  <sheetFormatPr defaultColWidth="11" defaultRowHeight="15.75"/>
  <cols>
    <col min="1" max="1" width="25.75" customWidth="1"/>
    <col min="2" max="2" width="12.25" customWidth="1"/>
    <col min="3" max="7" width="13.75" customWidth="1"/>
    <col min="8" max="8" width="8" customWidth="1"/>
    <col min="9" max="9" width="11.375" customWidth="1"/>
    <col min="10" max="10" width="11.875" customWidth="1"/>
    <col min="11" max="11" width="11" customWidth="1"/>
    <col min="12" max="12" width="10.25" customWidth="1"/>
    <col min="13" max="13" width="10.375" customWidth="1"/>
    <col min="14" max="14" width="8.375" customWidth="1"/>
    <col min="15" max="15" width="11.875" customWidth="1"/>
    <col min="16" max="16" width="9.875" customWidth="1"/>
    <col min="17" max="17" width="11" customWidth="1"/>
    <col min="18" max="18" width="5.625" customWidth="1"/>
    <col min="19" max="19" width="10.625" customWidth="1"/>
    <col min="20" max="20" width="9.875" customWidth="1"/>
    <col min="21" max="21" width="11.875" customWidth="1"/>
    <col min="22" max="23" width="9.875" customWidth="1"/>
    <col min="24" max="24" width="7.75" customWidth="1"/>
    <col min="25" max="25" width="4.375" customWidth="1"/>
    <col min="26" max="26" width="8.375" customWidth="1"/>
    <col min="27" max="27" width="9.375" customWidth="1"/>
    <col min="28" max="28" width="7.75" customWidth="1"/>
    <col min="29" max="29" width="4.375" customWidth="1"/>
    <col min="30" max="30" width="9.75" customWidth="1"/>
    <col min="31" max="31" width="7.75" customWidth="1"/>
    <col min="32" max="253" width="9.875" customWidth="1"/>
  </cols>
  <sheetData>
    <row r="1" spans="1:31" ht="18.75">
      <c r="A1" s="51" t="s">
        <v>857</v>
      </c>
      <c r="B1" s="52"/>
      <c r="C1" s="53"/>
      <c r="D1" s="53"/>
      <c r="E1" s="53"/>
      <c r="F1" s="53"/>
      <c r="G1" s="53"/>
      <c r="H1" s="1"/>
      <c r="I1" s="2" t="s">
        <v>0</v>
      </c>
      <c r="J1" s="1"/>
      <c r="K1" s="1"/>
      <c r="L1" s="15" t="s">
        <v>1</v>
      </c>
      <c r="M1" s="15">
        <v>6.2E-2</v>
      </c>
      <c r="O1" s="2" t="s">
        <v>3</v>
      </c>
      <c r="P1" s="1"/>
      <c r="Q1" s="1"/>
      <c r="R1" s="1"/>
      <c r="S1" s="2" t="s">
        <v>4</v>
      </c>
      <c r="T1" s="1"/>
      <c r="U1" s="1"/>
      <c r="V1" s="1"/>
      <c r="W1" s="1"/>
      <c r="X1" s="1"/>
    </row>
    <row r="2" spans="1:31" ht="19.5" thickBot="1">
      <c r="A2" s="54" t="s">
        <v>517</v>
      </c>
      <c r="B2" s="51"/>
      <c r="C2" s="55"/>
      <c r="D2" s="55"/>
      <c r="E2" s="55"/>
      <c r="F2" s="55"/>
      <c r="G2" s="55"/>
      <c r="H2" s="1"/>
      <c r="I2" s="2" t="s">
        <v>7</v>
      </c>
      <c r="J2" s="3">
        <f>IF(OAC="MED",MD_,IF(OAC="SS",MD_,0))</f>
        <v>1.4500000000000001E-2</v>
      </c>
      <c r="K2" s="4"/>
      <c r="L2" s="15" t="s">
        <v>2</v>
      </c>
      <c r="M2" s="15">
        <v>1.4500000000000001E-2</v>
      </c>
      <c r="N2" s="1"/>
      <c r="O2" s="5">
        <v>4300</v>
      </c>
      <c r="P2" s="1"/>
      <c r="Q2" s="1"/>
      <c r="R2" s="1"/>
      <c r="S2" s="2" t="s">
        <v>8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" customHeight="1">
      <c r="A3" s="6" t="s">
        <v>5</v>
      </c>
      <c r="B3" s="7">
        <v>0</v>
      </c>
      <c r="C3" s="6" t="s">
        <v>5</v>
      </c>
      <c r="D3" s="8"/>
      <c r="E3" s="8"/>
      <c r="F3" s="8"/>
      <c r="G3" s="9" t="s">
        <v>6</v>
      </c>
      <c r="H3" s="1"/>
      <c r="I3" s="2" t="s">
        <v>9</v>
      </c>
      <c r="J3" s="5">
        <f>ROUND((GROSS+Flex_Cash-Total_Flex-OPEB)*MED_,2)</f>
        <v>0</v>
      </c>
      <c r="K3" s="1"/>
      <c r="L3" s="15" t="s">
        <v>176</v>
      </c>
      <c r="M3" s="15">
        <v>8.9999999999999993E-3</v>
      </c>
      <c r="N3" s="1"/>
      <c r="O3" s="1"/>
      <c r="P3" s="1"/>
      <c r="Q3" s="1"/>
      <c r="R3" s="5"/>
      <c r="S3" s="5">
        <v>1000</v>
      </c>
      <c r="T3" s="1"/>
      <c r="U3" s="1"/>
      <c r="V3" s="1"/>
      <c r="W3" s="1"/>
      <c r="X3" s="1"/>
    </row>
    <row r="4" spans="1:31" ht="15" customHeight="1">
      <c r="A4" s="2" t="s">
        <v>472</v>
      </c>
      <c r="B4" s="10" t="s">
        <v>169</v>
      </c>
      <c r="C4" s="2" t="s">
        <v>473</v>
      </c>
      <c r="D4" s="1"/>
      <c r="E4" s="1"/>
      <c r="F4" s="1"/>
      <c r="G4" s="12"/>
      <c r="H4" s="1"/>
      <c r="I4" s="2" t="s">
        <v>10</v>
      </c>
      <c r="J4" s="3">
        <f>IF(OR(OR(OR(OAC="NO",CAT="SAF"),CAT="PAT"),CAT="POF"),0,IF(OAC="SS",OA_,IF(OAC="MED",NOOA_,0)))</f>
        <v>6.2E-2</v>
      </c>
      <c r="K4" s="1"/>
      <c r="L4" s="1"/>
      <c r="M4" s="1">
        <v>0</v>
      </c>
      <c r="N4" s="1"/>
      <c r="O4" s="2"/>
      <c r="P4" s="1" t="s">
        <v>25</v>
      </c>
      <c r="Q4" s="1"/>
      <c r="R4" s="1"/>
      <c r="S4" s="1"/>
      <c r="T4" s="1"/>
      <c r="U4" s="1"/>
      <c r="V4" s="1"/>
      <c r="W4" s="1"/>
      <c r="X4" s="1"/>
      <c r="Y4" s="62" t="s">
        <v>841</v>
      </c>
      <c r="Z4" s="63"/>
      <c r="AA4" s="63"/>
      <c r="AB4" s="64"/>
      <c r="AD4" s="62" t="s">
        <v>842</v>
      </c>
      <c r="AE4" s="64"/>
    </row>
    <row r="5" spans="1:31" ht="16.5" customHeight="1" thickBot="1">
      <c r="A5" s="2" t="s">
        <v>179</v>
      </c>
      <c r="B5" s="13" t="s">
        <v>340</v>
      </c>
      <c r="C5" s="50" t="s">
        <v>834</v>
      </c>
      <c r="D5" s="14"/>
      <c r="E5" s="1"/>
      <c r="F5" s="1"/>
      <c r="G5" s="12"/>
      <c r="H5" s="1"/>
      <c r="I5" s="2" t="s">
        <v>11</v>
      </c>
      <c r="J5" s="5">
        <f>ROUND((GROSS+Flex_Cash-Total_Flex-OPEB)*OASDI_,2)</f>
        <v>0</v>
      </c>
      <c r="K5" s="1"/>
      <c r="L5" s="1"/>
      <c r="M5" s="15"/>
      <c r="N5" s="1"/>
      <c r="O5" s="2" t="s">
        <v>13</v>
      </c>
      <c r="P5" s="2" t="s">
        <v>14</v>
      </c>
      <c r="Q5" s="2" t="s">
        <v>15</v>
      </c>
      <c r="R5" s="1"/>
      <c r="S5" s="2" t="s">
        <v>16</v>
      </c>
      <c r="T5" s="1"/>
      <c r="U5" s="1"/>
      <c r="V5" s="1"/>
      <c r="W5" s="1"/>
      <c r="X5" s="1"/>
      <c r="Y5" s="65" t="s">
        <v>180</v>
      </c>
      <c r="Z5" s="66" t="s">
        <v>181</v>
      </c>
      <c r="AA5" s="66" t="s">
        <v>843</v>
      </c>
      <c r="AB5" s="67"/>
      <c r="AC5" s="1"/>
      <c r="AD5" s="88" t="s">
        <v>681</v>
      </c>
      <c r="AE5" s="89" t="s">
        <v>181</v>
      </c>
    </row>
    <row r="6" spans="1:31" ht="16.5" customHeight="1" thickTop="1">
      <c r="A6" s="2" t="s">
        <v>681</v>
      </c>
      <c r="B6" s="13" t="s">
        <v>761</v>
      </c>
      <c r="C6" s="50" t="s">
        <v>835</v>
      </c>
      <c r="D6" s="14"/>
      <c r="E6" s="1"/>
      <c r="F6" s="1"/>
      <c r="G6" s="12"/>
      <c r="H6" s="1"/>
      <c r="I6" s="2" t="s">
        <v>682</v>
      </c>
      <c r="J6" s="5">
        <f>ROUND(GROSS*K6,2)</f>
        <v>0</v>
      </c>
      <c r="K6" s="1">
        <f>VLOOKUP(OPEB_AC,OPEB_Table,2,FALSE)</f>
        <v>0.03</v>
      </c>
      <c r="L6" s="1"/>
      <c r="N6" s="1"/>
      <c r="O6" s="2"/>
      <c r="P6" s="2"/>
      <c r="Q6" s="2"/>
      <c r="R6" s="1"/>
      <c r="S6" s="1"/>
      <c r="T6" s="2" t="s">
        <v>20</v>
      </c>
      <c r="U6" s="1"/>
      <c r="V6" s="2" t="s">
        <v>21</v>
      </c>
      <c r="W6" s="1"/>
      <c r="X6" s="1"/>
      <c r="Y6" s="68" t="s">
        <v>509</v>
      </c>
      <c r="Z6" s="69">
        <v>0.06</v>
      </c>
      <c r="AA6" s="1">
        <v>317</v>
      </c>
      <c r="AB6" s="70" t="s">
        <v>177</v>
      </c>
      <c r="AC6" s="1"/>
      <c r="AD6" s="90" t="s">
        <v>683</v>
      </c>
      <c r="AE6" s="92">
        <v>0.03</v>
      </c>
    </row>
    <row r="7" spans="1:31" ht="16.5" customHeight="1">
      <c r="A7" s="2" t="s">
        <v>475</v>
      </c>
      <c r="B7" s="16"/>
      <c r="C7" s="2" t="s">
        <v>836</v>
      </c>
      <c r="D7" s="1"/>
      <c r="E7" s="1"/>
      <c r="F7" s="1"/>
      <c r="G7" s="12"/>
      <c r="H7" s="1"/>
      <c r="I7" s="2" t="s">
        <v>19</v>
      </c>
      <c r="J7" s="17">
        <f>VLOOKUP(CAT,RETID_TABLE,3,FALSE)</f>
        <v>513</v>
      </c>
      <c r="K7" s="18">
        <f>IF(B4="B",EPMCD*12/26,0)</f>
        <v>0</v>
      </c>
      <c r="L7" s="76"/>
      <c r="N7" s="1"/>
      <c r="O7" s="5">
        <v>-999999</v>
      </c>
      <c r="P7" s="5">
        <v>0</v>
      </c>
      <c r="Q7" s="5">
        <v>0</v>
      </c>
      <c r="R7" s="1"/>
      <c r="S7" s="15" t="s">
        <v>25</v>
      </c>
      <c r="T7" s="15" t="s">
        <v>26</v>
      </c>
      <c r="U7" s="2" t="s">
        <v>27</v>
      </c>
      <c r="V7" s="2" t="s">
        <v>28</v>
      </c>
      <c r="W7" s="1"/>
      <c r="X7" s="1"/>
      <c r="Y7" s="68" t="s">
        <v>182</v>
      </c>
      <c r="Z7" s="69">
        <v>3.7499999999999999E-2</v>
      </c>
      <c r="AA7" s="1">
        <v>0</v>
      </c>
      <c r="AB7" s="70" t="s">
        <v>177</v>
      </c>
      <c r="AC7" s="1"/>
      <c r="AD7" s="90" t="s">
        <v>684</v>
      </c>
      <c r="AE7" s="93">
        <v>1.4E-2</v>
      </c>
    </row>
    <row r="8" spans="1:31" ht="16.5" customHeight="1">
      <c r="A8" s="2" t="s">
        <v>856</v>
      </c>
      <c r="B8" s="87" t="str">
        <f>VLOOKUP(CAT,RETID_TABLE,4,FALSE)</f>
        <v>SS</v>
      </c>
      <c r="C8" s="2" t="s">
        <v>467</v>
      </c>
      <c r="D8" s="1"/>
      <c r="E8" s="1"/>
      <c r="F8" s="1"/>
      <c r="G8" s="12"/>
      <c r="H8" s="1"/>
      <c r="I8" s="2" t="s">
        <v>24</v>
      </c>
      <c r="J8" s="20">
        <f>VLOOKUP(CAT,RETID_TABLE,2,FALSE)</f>
        <v>0.05</v>
      </c>
      <c r="K8" s="18">
        <f>IF(AND(B4="B",K7&lt;GROSS),(GROSS-(K7))*EPMC_,0)</f>
        <v>0</v>
      </c>
      <c r="L8" s="2"/>
      <c r="N8" s="1"/>
      <c r="O8" s="5">
        <v>5250</v>
      </c>
      <c r="P8" s="5">
        <v>0.1</v>
      </c>
      <c r="Q8" s="5">
        <v>0</v>
      </c>
      <c r="R8" s="1"/>
      <c r="S8" s="21">
        <v>0</v>
      </c>
      <c r="T8" s="21">
        <v>0</v>
      </c>
      <c r="U8" s="21">
        <v>0</v>
      </c>
      <c r="V8" s="21">
        <v>0</v>
      </c>
      <c r="W8" s="1"/>
      <c r="X8" s="1"/>
      <c r="Y8" s="68" t="s">
        <v>183</v>
      </c>
      <c r="Z8" s="69">
        <v>0</v>
      </c>
      <c r="AA8" s="1">
        <v>0</v>
      </c>
      <c r="AB8" s="70" t="s">
        <v>177</v>
      </c>
      <c r="AC8" s="1"/>
      <c r="AD8" s="90" t="s">
        <v>685</v>
      </c>
      <c r="AE8" s="92">
        <v>0.03</v>
      </c>
    </row>
    <row r="9" spans="1:31">
      <c r="A9" s="2" t="s">
        <v>17</v>
      </c>
      <c r="B9" s="16" t="s">
        <v>178</v>
      </c>
      <c r="C9" s="2" t="s">
        <v>18</v>
      </c>
      <c r="D9" s="1"/>
      <c r="E9" s="1"/>
      <c r="F9" s="1"/>
      <c r="G9" s="12"/>
      <c r="H9" s="1"/>
      <c r="I9" s="2" t="s">
        <v>12</v>
      </c>
      <c r="J9" s="5">
        <f>IF(B4="M",K10,IF(B4="S",K9,IF(B4="B",K8)))</f>
        <v>0</v>
      </c>
      <c r="K9" s="18">
        <f>IF(AND(EPMCD&gt;GROSS,TIER&lt;&gt;2),0,IF(TIER=1,(GROSS-EPMCD)*EPMC_,IF(AND(B4="S",TIER=2),GROSS*EPMC_,)))</f>
        <v>0</v>
      </c>
      <c r="L9" s="1"/>
      <c r="M9" s="1"/>
      <c r="N9" s="1"/>
      <c r="O9" s="5">
        <v>16250</v>
      </c>
      <c r="P9" s="5">
        <v>0.12</v>
      </c>
      <c r="Q9" s="5">
        <v>1100</v>
      </c>
      <c r="R9" s="1"/>
      <c r="S9" s="1"/>
      <c r="T9" s="1"/>
      <c r="U9" s="1"/>
      <c r="V9" s="1"/>
      <c r="W9" s="1"/>
      <c r="X9" s="1"/>
      <c r="Y9" s="68" t="s">
        <v>184</v>
      </c>
      <c r="Z9" s="69">
        <v>3.7499999999999999E-2</v>
      </c>
      <c r="AA9" s="1">
        <v>0</v>
      </c>
      <c r="AB9" s="70" t="s">
        <v>11</v>
      </c>
      <c r="AC9" s="1"/>
      <c r="AD9" s="90" t="s">
        <v>686</v>
      </c>
      <c r="AE9" s="92">
        <v>0.03</v>
      </c>
    </row>
    <row r="10" spans="1:31">
      <c r="A10" s="2" t="s">
        <v>22</v>
      </c>
      <c r="B10" s="16">
        <v>0</v>
      </c>
      <c r="C10" s="2" t="s">
        <v>525</v>
      </c>
      <c r="D10" s="1"/>
      <c r="E10" s="22"/>
      <c r="F10" s="1"/>
      <c r="G10" s="12"/>
      <c r="H10" s="1"/>
      <c r="I10" s="2" t="s">
        <v>31</v>
      </c>
      <c r="J10" s="23">
        <f>GROSS+Flex_Cash-Total_Flex-OPEB</f>
        <v>0</v>
      </c>
      <c r="K10" s="18">
        <f>IF(EPMCD&gt;GROSS,0,(GROSS-EPMCD)*EPMC_)</f>
        <v>0</v>
      </c>
      <c r="L10" s="20"/>
      <c r="M10" s="76"/>
      <c r="N10" s="1"/>
      <c r="O10" s="5">
        <v>49975</v>
      </c>
      <c r="P10" s="5">
        <v>0.22</v>
      </c>
      <c r="Q10" s="5">
        <v>5147</v>
      </c>
      <c r="R10" s="1"/>
      <c r="S10" s="2" t="s">
        <v>33</v>
      </c>
      <c r="T10" s="1"/>
      <c r="U10" s="1"/>
      <c r="V10" s="1"/>
      <c r="W10" s="1"/>
      <c r="X10" s="1"/>
      <c r="Y10" s="68" t="s">
        <v>185</v>
      </c>
      <c r="Z10" s="69">
        <v>3.7499999999999999E-2</v>
      </c>
      <c r="AA10" s="1">
        <v>0</v>
      </c>
      <c r="AB10" s="70" t="s">
        <v>11</v>
      </c>
      <c r="AC10" s="1"/>
      <c r="AD10" s="90" t="s">
        <v>687</v>
      </c>
      <c r="AE10" s="93">
        <v>2.5999999999999999E-2</v>
      </c>
    </row>
    <row r="11" spans="1:31">
      <c r="A11" s="42" t="s">
        <v>512</v>
      </c>
      <c r="B11" s="43"/>
      <c r="C11" s="42" t="s">
        <v>520</v>
      </c>
      <c r="D11" s="44"/>
      <c r="E11" s="44"/>
      <c r="F11" s="44"/>
      <c r="G11" s="45"/>
      <c r="H11" s="1"/>
      <c r="I11" s="2" t="s">
        <v>32</v>
      </c>
      <c r="J11" s="23">
        <f>GROSS+Flex_Cash-Total_Flex-OPEB</f>
        <v>0</v>
      </c>
      <c r="K11" s="5"/>
      <c r="L11" s="5"/>
      <c r="M11" s="1"/>
      <c r="N11" s="1"/>
      <c r="O11" s="5">
        <v>100625</v>
      </c>
      <c r="P11" s="5">
        <v>0.24</v>
      </c>
      <c r="Q11" s="5">
        <v>16290</v>
      </c>
      <c r="R11" s="1"/>
      <c r="S11" s="1"/>
      <c r="T11" s="2" t="s">
        <v>20</v>
      </c>
      <c r="U11" s="1"/>
      <c r="V11" s="2" t="s">
        <v>21</v>
      </c>
      <c r="W11" s="1"/>
      <c r="X11" s="1"/>
      <c r="Y11" s="68" t="s">
        <v>338</v>
      </c>
      <c r="Z11" s="69">
        <v>9.5000000000000001E-2</v>
      </c>
      <c r="AA11" s="1">
        <v>513</v>
      </c>
      <c r="AB11" s="70" t="s">
        <v>11</v>
      </c>
      <c r="AC11" s="1"/>
      <c r="AD11" s="90" t="s">
        <v>688</v>
      </c>
      <c r="AE11" s="92">
        <v>0.04</v>
      </c>
    </row>
    <row r="12" spans="1:31">
      <c r="A12" s="2" t="s">
        <v>513</v>
      </c>
      <c r="B12" s="16"/>
      <c r="C12" s="2" t="s">
        <v>519</v>
      </c>
      <c r="D12" s="1"/>
      <c r="E12" s="1"/>
      <c r="F12" s="1"/>
      <c r="G12" s="12"/>
      <c r="H12" s="1"/>
      <c r="I12" s="2" t="s">
        <v>173</v>
      </c>
      <c r="J12" s="24">
        <f>IF(SDI="Yes",SDIGRS*M3,0)</f>
        <v>0</v>
      </c>
      <c r="K12" s="3"/>
      <c r="L12" s="3"/>
      <c r="M12" s="1"/>
      <c r="N12" s="1"/>
      <c r="O12" s="5">
        <v>187350</v>
      </c>
      <c r="P12" s="25">
        <v>0.32</v>
      </c>
      <c r="Q12" s="5">
        <v>37104</v>
      </c>
      <c r="R12" s="1"/>
      <c r="S12" s="15" t="s">
        <v>25</v>
      </c>
      <c r="T12" s="15" t="s">
        <v>26</v>
      </c>
      <c r="U12" s="2" t="s">
        <v>27</v>
      </c>
      <c r="V12" s="2" t="s">
        <v>28</v>
      </c>
      <c r="W12" s="1"/>
      <c r="X12" s="1"/>
      <c r="Y12" s="68" t="s">
        <v>261</v>
      </c>
      <c r="Z12" s="69">
        <v>0.1</v>
      </c>
      <c r="AA12" s="1">
        <v>317</v>
      </c>
      <c r="AB12" s="70" t="s">
        <v>9</v>
      </c>
      <c r="AC12" s="1"/>
      <c r="AD12" s="90" t="s">
        <v>689</v>
      </c>
      <c r="AE12" s="92">
        <v>0.04</v>
      </c>
    </row>
    <row r="13" spans="1:31">
      <c r="A13" s="2" t="s">
        <v>514</v>
      </c>
      <c r="B13" s="16"/>
      <c r="C13" s="2" t="s">
        <v>519</v>
      </c>
      <c r="D13" s="1"/>
      <c r="E13" s="1"/>
      <c r="F13" s="1"/>
      <c r="G13" s="12"/>
      <c r="H13" s="1"/>
      <c r="I13" s="2" t="s">
        <v>174</v>
      </c>
      <c r="J13" s="26">
        <f>GROSS+Flex_Cash-Total_Flex-OPEB</f>
        <v>0</v>
      </c>
      <c r="K13" s="3"/>
      <c r="L13" s="3"/>
      <c r="M13" s="1"/>
      <c r="N13" s="1"/>
      <c r="O13" s="5">
        <v>236500</v>
      </c>
      <c r="P13" s="25">
        <v>0.35</v>
      </c>
      <c r="Q13" s="5">
        <v>52832</v>
      </c>
      <c r="R13" s="1"/>
      <c r="S13" s="21">
        <v>7400</v>
      </c>
      <c r="T13" s="21">
        <v>7950</v>
      </c>
      <c r="U13" s="21">
        <v>7950</v>
      </c>
      <c r="V13" s="21">
        <v>7950</v>
      </c>
      <c r="W13" s="1"/>
      <c r="X13" s="1"/>
      <c r="Y13" s="68" t="s">
        <v>339</v>
      </c>
      <c r="Z13" s="69">
        <v>0.125</v>
      </c>
      <c r="AA13" s="1">
        <v>513</v>
      </c>
      <c r="AB13" s="70" t="s">
        <v>11</v>
      </c>
      <c r="AC13" s="1"/>
      <c r="AD13" s="90" t="s">
        <v>690</v>
      </c>
      <c r="AE13" s="92">
        <v>3.4000000000000002E-2</v>
      </c>
    </row>
    <row r="14" spans="1:31">
      <c r="A14" s="46" t="s">
        <v>515</v>
      </c>
      <c r="B14" s="47"/>
      <c r="C14" s="46" t="s">
        <v>519</v>
      </c>
      <c r="D14" s="48"/>
      <c r="E14" s="48"/>
      <c r="F14" s="48"/>
      <c r="G14" s="49"/>
      <c r="H14" s="1"/>
      <c r="I14" s="2" t="s">
        <v>35</v>
      </c>
      <c r="J14" s="5">
        <f>(GROSS-Total_A_R_Deductions-EPMC+Flex_Cash-Total_Flex-_DCA1-OPEB)</f>
        <v>0</v>
      </c>
      <c r="K14" s="3"/>
      <c r="L14" s="3"/>
      <c r="M14" s="1"/>
      <c r="N14" s="1"/>
      <c r="O14" s="5">
        <v>583375</v>
      </c>
      <c r="P14" s="27">
        <v>0.37</v>
      </c>
      <c r="Q14" s="5">
        <v>174238.25</v>
      </c>
      <c r="R14" s="1"/>
      <c r="S14" s="1"/>
      <c r="T14" s="1"/>
      <c r="U14" s="1"/>
      <c r="V14" s="1"/>
      <c r="W14" s="1"/>
      <c r="X14" s="1"/>
      <c r="Y14" s="68" t="s">
        <v>340</v>
      </c>
      <c r="Z14" s="69">
        <v>0.05</v>
      </c>
      <c r="AA14" s="1">
        <v>513</v>
      </c>
      <c r="AB14" s="70" t="s">
        <v>11</v>
      </c>
      <c r="AC14" s="1"/>
      <c r="AD14" s="90" t="s">
        <v>691</v>
      </c>
      <c r="AE14" s="92">
        <v>0.02</v>
      </c>
    </row>
    <row r="15" spans="1:31">
      <c r="A15" s="2" t="s">
        <v>29</v>
      </c>
      <c r="B15" s="16" t="s">
        <v>178</v>
      </c>
      <c r="C15" s="11" t="s">
        <v>471</v>
      </c>
      <c r="D15" s="1"/>
      <c r="E15" s="15" t="s">
        <v>6</v>
      </c>
      <c r="F15" s="2" t="s">
        <v>6</v>
      </c>
      <c r="G15" s="28" t="s">
        <v>6</v>
      </c>
      <c r="H15" s="1"/>
      <c r="I15" s="2" t="s">
        <v>37</v>
      </c>
      <c r="J15" s="5">
        <f>(GROSS-Total_A_R_Deductions-EPMC+Flex_Cash-Total_Flex-_DCA2-OPEB)</f>
        <v>-100</v>
      </c>
      <c r="K15" s="3"/>
      <c r="L15" s="3"/>
      <c r="M15" s="2"/>
      <c r="N15" s="1"/>
      <c r="O15" s="5"/>
      <c r="P15" s="5"/>
      <c r="Q15" s="5"/>
      <c r="R15" s="1"/>
      <c r="S15" s="55" t="s">
        <v>45</v>
      </c>
      <c r="T15" s="55"/>
      <c r="U15" s="55"/>
      <c r="V15" s="1"/>
      <c r="W15" s="1"/>
      <c r="X15" s="1"/>
      <c r="Y15" s="68" t="s">
        <v>341</v>
      </c>
      <c r="Z15" s="69">
        <v>0.08</v>
      </c>
      <c r="AA15" s="1">
        <v>513</v>
      </c>
      <c r="AB15" s="70" t="s">
        <v>11</v>
      </c>
      <c r="AC15" s="1"/>
      <c r="AD15" s="90" t="s">
        <v>692</v>
      </c>
      <c r="AE15" s="92">
        <v>2.1000000000000001E-2</v>
      </c>
    </row>
    <row r="16" spans="1:31">
      <c r="A16" s="2" t="s">
        <v>30</v>
      </c>
      <c r="B16" s="16">
        <v>0</v>
      </c>
      <c r="C16" s="11" t="s">
        <v>23</v>
      </c>
      <c r="D16" s="1"/>
      <c r="E16" s="15" t="s">
        <v>6</v>
      </c>
      <c r="F16" s="2" t="s">
        <v>6</v>
      </c>
      <c r="G16" s="28" t="s">
        <v>6</v>
      </c>
      <c r="H16" s="1"/>
      <c r="I16" s="2" t="s">
        <v>39</v>
      </c>
      <c r="J16" s="5">
        <f>(GROSS-Total_A_R_Deductions-EPMC+Flex_Cash-Total_Flex-_DCA3-OPEB)</f>
        <v>-200</v>
      </c>
      <c r="K16" s="3"/>
      <c r="L16" s="3"/>
      <c r="M16" s="2"/>
      <c r="N16" s="1"/>
      <c r="O16" s="1"/>
      <c r="P16" s="1"/>
      <c r="Q16" s="1"/>
      <c r="R16" s="1"/>
      <c r="S16" s="2" t="s">
        <v>13</v>
      </c>
      <c r="T16" s="2" t="s">
        <v>14</v>
      </c>
      <c r="U16" s="2" t="s">
        <v>15</v>
      </c>
      <c r="V16" s="1"/>
      <c r="W16" s="1"/>
      <c r="X16" s="1"/>
      <c r="Y16" s="68" t="s">
        <v>488</v>
      </c>
      <c r="Z16" s="69">
        <v>8.5000000000000006E-2</v>
      </c>
      <c r="AA16" s="1">
        <v>513</v>
      </c>
      <c r="AB16" s="70" t="s">
        <v>11</v>
      </c>
      <c r="AC16" s="1"/>
      <c r="AD16" s="90" t="s">
        <v>693</v>
      </c>
      <c r="AE16" s="92">
        <v>0.03</v>
      </c>
    </row>
    <row r="17" spans="1:31">
      <c r="A17" s="2" t="s">
        <v>518</v>
      </c>
      <c r="B17" s="19">
        <v>0</v>
      </c>
      <c r="C17" s="11"/>
      <c r="D17" s="1"/>
      <c r="E17" s="15" t="s">
        <v>6</v>
      </c>
      <c r="F17" s="2" t="s">
        <v>6</v>
      </c>
      <c r="G17" s="28" t="s">
        <v>6</v>
      </c>
      <c r="H17" s="1"/>
      <c r="I17" s="2" t="s">
        <v>41</v>
      </c>
      <c r="J17" s="5">
        <f>(GROSS-Total_A_R_Deductions-EPMC+Flex_Cash-Total_Flex-_DCA4-OPEB)</f>
        <v>-300</v>
      </c>
      <c r="K17" s="3"/>
      <c r="L17" s="3"/>
      <c r="M17" s="2"/>
      <c r="N17" s="1"/>
      <c r="O17" s="2" t="s">
        <v>6</v>
      </c>
      <c r="P17" s="2" t="s">
        <v>44</v>
      </c>
      <c r="Q17" s="1"/>
      <c r="R17" s="1"/>
      <c r="S17" s="21">
        <v>0</v>
      </c>
      <c r="T17" s="29">
        <v>0.04</v>
      </c>
      <c r="U17" s="5">
        <v>0</v>
      </c>
      <c r="V17" s="1"/>
      <c r="W17" s="1"/>
      <c r="X17" s="1"/>
      <c r="Y17" s="68" t="s">
        <v>489</v>
      </c>
      <c r="Z17" s="69">
        <v>8.5000000000000006E-2</v>
      </c>
      <c r="AA17" s="1">
        <v>513</v>
      </c>
      <c r="AB17" s="70" t="s">
        <v>11</v>
      </c>
      <c r="AC17" s="1"/>
      <c r="AD17" s="90" t="s">
        <v>694</v>
      </c>
      <c r="AE17" s="93">
        <v>3.5999999999999997E-2</v>
      </c>
    </row>
    <row r="18" spans="1:31">
      <c r="A18" s="2" t="s">
        <v>172</v>
      </c>
      <c r="B18" s="16" t="s">
        <v>177</v>
      </c>
      <c r="C18" s="11" t="s">
        <v>171</v>
      </c>
      <c r="D18" s="1"/>
      <c r="E18" s="15"/>
      <c r="F18" s="2"/>
      <c r="G18" s="28"/>
      <c r="H18" s="1"/>
      <c r="I18" s="2" t="s">
        <v>43</v>
      </c>
      <c r="J18" s="5">
        <f>(GROSS-Total_A_R_Deductions-EPMC+Flex_Cash-Total_Flex-_DCA5-OPEB)</f>
        <v>-400</v>
      </c>
      <c r="K18" s="3"/>
      <c r="L18" s="3"/>
      <c r="M18" s="2"/>
      <c r="N18" s="1"/>
      <c r="O18" s="2" t="s">
        <v>13</v>
      </c>
      <c r="P18" s="2" t="s">
        <v>14</v>
      </c>
      <c r="Q18" s="2" t="s">
        <v>15</v>
      </c>
      <c r="R18" s="1"/>
      <c r="S18" s="21">
        <v>8500</v>
      </c>
      <c r="T18" s="29">
        <v>4.4999999999999998E-2</v>
      </c>
      <c r="U18" s="5">
        <v>340</v>
      </c>
      <c r="V18" s="1"/>
      <c r="W18" s="1"/>
      <c r="X18" s="1"/>
      <c r="Y18" s="68" t="s">
        <v>490</v>
      </c>
      <c r="Z18" s="69">
        <v>8.5000000000000006E-2</v>
      </c>
      <c r="AA18" s="1">
        <v>513</v>
      </c>
      <c r="AB18" s="70" t="s">
        <v>11</v>
      </c>
      <c r="AC18" s="1"/>
      <c r="AD18" s="90" t="s">
        <v>695</v>
      </c>
      <c r="AE18" s="93">
        <v>0.03</v>
      </c>
    </row>
    <row r="19" spans="1:31">
      <c r="A19" s="2" t="s">
        <v>34</v>
      </c>
      <c r="B19" s="30">
        <v>0</v>
      </c>
      <c r="C19" s="2" t="s">
        <v>837</v>
      </c>
      <c r="D19" s="1"/>
      <c r="E19" s="1"/>
      <c r="F19" s="1"/>
      <c r="G19" s="12"/>
      <c r="H19" s="1"/>
      <c r="I19" s="2" t="s">
        <v>47</v>
      </c>
      <c r="J19" s="5">
        <f>(GROSS-Total_A_R_Deductions-EPMC+Flex_Cash-Total_Flex-_DCA6-OPEB)</f>
        <v>-500</v>
      </c>
      <c r="K19" s="3"/>
      <c r="L19" s="3"/>
      <c r="M19" s="2"/>
      <c r="N19" s="1"/>
      <c r="O19" s="5">
        <v>-999999</v>
      </c>
      <c r="P19" s="5">
        <v>0</v>
      </c>
      <c r="Q19" s="5">
        <v>0</v>
      </c>
      <c r="R19" s="1"/>
      <c r="S19" s="21">
        <v>11700</v>
      </c>
      <c r="T19" s="29">
        <v>5.2499999999999998E-2</v>
      </c>
      <c r="U19" s="5">
        <v>484</v>
      </c>
      <c r="V19" s="1"/>
      <c r="W19" s="1"/>
      <c r="X19" s="1"/>
      <c r="Y19" s="68" t="s">
        <v>491</v>
      </c>
      <c r="Z19" s="69">
        <v>8.7499999999999994E-2</v>
      </c>
      <c r="AA19" s="1">
        <v>513</v>
      </c>
      <c r="AB19" s="70" t="s">
        <v>11</v>
      </c>
      <c r="AC19" s="1"/>
      <c r="AD19" s="90" t="s">
        <v>696</v>
      </c>
      <c r="AE19" s="92">
        <v>0.03</v>
      </c>
    </row>
    <row r="20" spans="1:31">
      <c r="A20" s="2" t="s">
        <v>36</v>
      </c>
      <c r="B20" s="30">
        <v>0</v>
      </c>
      <c r="C20" s="2" t="s">
        <v>838</v>
      </c>
      <c r="D20" s="1"/>
      <c r="E20" s="1"/>
      <c r="F20" s="1"/>
      <c r="G20" s="12"/>
      <c r="H20" s="1"/>
      <c r="I20" s="1"/>
      <c r="J20" s="1"/>
      <c r="K20" s="3"/>
      <c r="L20" s="3"/>
      <c r="M20" s="2"/>
      <c r="N20" s="1"/>
      <c r="O20" s="5">
        <v>14800</v>
      </c>
      <c r="P20" s="5">
        <v>0.1</v>
      </c>
      <c r="Q20" s="5">
        <v>0</v>
      </c>
      <c r="R20" s="1"/>
      <c r="S20" s="21">
        <v>13900</v>
      </c>
      <c r="T20" s="29">
        <v>5.5E-2</v>
      </c>
      <c r="U20" s="5">
        <v>600</v>
      </c>
      <c r="V20" s="1"/>
      <c r="W20" s="1"/>
      <c r="X20" s="1"/>
      <c r="Y20" s="68" t="s">
        <v>492</v>
      </c>
      <c r="Z20" s="69">
        <v>8.5000000000000006E-2</v>
      </c>
      <c r="AA20" s="1">
        <v>513</v>
      </c>
      <c r="AB20" s="70" t="s">
        <v>11</v>
      </c>
      <c r="AC20" s="1"/>
      <c r="AD20" s="90" t="s">
        <v>697</v>
      </c>
      <c r="AE20" s="92">
        <v>0.03</v>
      </c>
    </row>
    <row r="21" spans="1:31">
      <c r="A21" s="2" t="s">
        <v>38</v>
      </c>
      <c r="B21" s="30">
        <v>0</v>
      </c>
      <c r="C21" s="2" t="s">
        <v>839</v>
      </c>
      <c r="D21" s="1"/>
      <c r="E21" s="1"/>
      <c r="F21" s="1"/>
      <c r="G21" s="12"/>
      <c r="H21" s="1"/>
      <c r="I21" s="55" t="s">
        <v>844</v>
      </c>
      <c r="J21" s="55"/>
      <c r="K21" s="3"/>
      <c r="L21" s="55" t="s">
        <v>845</v>
      </c>
      <c r="M21" s="55"/>
      <c r="N21" s="1"/>
      <c r="O21" s="5">
        <v>36800</v>
      </c>
      <c r="P21" s="5">
        <v>0.12</v>
      </c>
      <c r="Q21" s="5">
        <v>2200</v>
      </c>
      <c r="R21" s="1"/>
      <c r="S21" s="21">
        <v>80650</v>
      </c>
      <c r="T21" s="29">
        <v>0.06</v>
      </c>
      <c r="U21" s="5">
        <v>4271</v>
      </c>
      <c r="V21" s="1"/>
      <c r="W21" s="1"/>
      <c r="X21" s="1"/>
      <c r="Y21" s="68" t="s">
        <v>493</v>
      </c>
      <c r="Z21" s="69">
        <v>8.5000000000000006E-2</v>
      </c>
      <c r="AA21" s="1">
        <v>513</v>
      </c>
      <c r="AB21" s="70" t="s">
        <v>11</v>
      </c>
      <c r="AC21" s="1"/>
      <c r="AD21" s="90" t="s">
        <v>698</v>
      </c>
      <c r="AE21" s="92">
        <v>1.4E-2</v>
      </c>
    </row>
    <row r="22" spans="1:31" ht="16.5" thickBot="1">
      <c r="A22" s="2" t="s">
        <v>40</v>
      </c>
      <c r="B22" s="30">
        <v>0</v>
      </c>
      <c r="C22" s="2" t="s">
        <v>838</v>
      </c>
      <c r="D22" s="1"/>
      <c r="E22" s="1"/>
      <c r="F22" s="1"/>
      <c r="G22" s="12"/>
      <c r="H22" s="1"/>
      <c r="I22" s="2" t="s">
        <v>51</v>
      </c>
      <c r="J22" s="5">
        <f>IF(B4="S",24,IF(B4="B",26,12))</f>
        <v>12</v>
      </c>
      <c r="K22" s="31" t="str">
        <f>IF(AND(FedHW="Y",FEDM="M"),"A",IF(AND(FedHW="Y",FEDM="S"),"I",IF(AND(FedHW="Y",FEDM="H"),"E",FEDM)))</f>
        <v>S</v>
      </c>
      <c r="L22" s="2" t="s">
        <v>119</v>
      </c>
      <c r="M22" s="5">
        <f>IF(STM="S",LIES,IF(AND(STM="M",STE&lt;2),LIEM1,IF(AND(STM="M",STE&gt;=2),LIEM2,IF(STM="H",LIEH,99999))))</f>
        <v>0</v>
      </c>
      <c r="N22" s="1"/>
      <c r="O22" s="5">
        <v>104250</v>
      </c>
      <c r="P22" s="5">
        <v>0.22</v>
      </c>
      <c r="Q22" s="5">
        <v>10294</v>
      </c>
      <c r="R22" s="1"/>
      <c r="S22" s="21">
        <v>96800</v>
      </c>
      <c r="T22" s="29">
        <v>7.1400000000000005E-2</v>
      </c>
      <c r="U22" s="5">
        <v>5240</v>
      </c>
      <c r="V22" s="1"/>
      <c r="W22" s="1"/>
      <c r="X22" s="1"/>
      <c r="Y22" s="68" t="s">
        <v>494</v>
      </c>
      <c r="Z22" s="69">
        <v>8.5000000000000006E-2</v>
      </c>
      <c r="AA22" s="1">
        <v>513</v>
      </c>
      <c r="AB22" s="70" t="s">
        <v>11</v>
      </c>
      <c r="AC22" s="1"/>
      <c r="AD22" s="90" t="s">
        <v>699</v>
      </c>
      <c r="AE22" s="92">
        <v>0.03</v>
      </c>
    </row>
    <row r="23" spans="1:31" ht="16.5" thickBot="1">
      <c r="A23" s="32" t="s">
        <v>42</v>
      </c>
      <c r="B23" s="33">
        <v>0</v>
      </c>
      <c r="C23" s="34">
        <v>100</v>
      </c>
      <c r="D23" s="34">
        <v>200</v>
      </c>
      <c r="E23" s="34">
        <v>300</v>
      </c>
      <c r="F23" s="34">
        <v>400</v>
      </c>
      <c r="G23" s="34">
        <v>500</v>
      </c>
      <c r="H23" s="1"/>
      <c r="I23" s="2" t="s">
        <v>53</v>
      </c>
      <c r="J23" s="5">
        <f>IF(AND(FedHW="N",FEDM="M"),(FEDEXMPT*3),IF(AND(FedHW="N",FEDM&lt;&gt;"M"),(FEDEXMPT*2),IF(FedHW="",(FEDEXMPT*FEDE),"0")))</f>
        <v>0</v>
      </c>
      <c r="K23" s="3"/>
      <c r="L23" s="2" t="s">
        <v>120</v>
      </c>
      <c r="M23" s="5">
        <f>(STA*SADDALL)</f>
        <v>0</v>
      </c>
      <c r="N23" s="1"/>
      <c r="O23" s="5">
        <v>205550</v>
      </c>
      <c r="P23" s="5">
        <v>0.24</v>
      </c>
      <c r="Q23" s="5">
        <v>32580</v>
      </c>
      <c r="R23" s="1"/>
      <c r="S23" s="21">
        <v>107650</v>
      </c>
      <c r="T23" s="29">
        <v>7.6399999999999996E-2</v>
      </c>
      <c r="U23" s="5">
        <v>6014</v>
      </c>
      <c r="V23" s="1"/>
      <c r="W23" s="1"/>
      <c r="X23" s="1"/>
      <c r="Y23" s="68" t="s">
        <v>495</v>
      </c>
      <c r="Z23" s="69">
        <v>8.5000000000000006E-2</v>
      </c>
      <c r="AA23" s="1">
        <v>513</v>
      </c>
      <c r="AB23" s="70" t="s">
        <v>11</v>
      </c>
      <c r="AC23" s="1"/>
      <c r="AD23" s="90" t="s">
        <v>700</v>
      </c>
      <c r="AE23" s="92">
        <v>0.04</v>
      </c>
    </row>
    <row r="24" spans="1:31">
      <c r="A24" s="35" t="s">
        <v>46</v>
      </c>
      <c r="B24" s="36">
        <f>(GROSS-EPMC-OASDI-MED+Flex_Cash-Total_Flex-VOLDEDS-_DCA1-FTAX1-STAX1-B21-_SDI1-OPEB)</f>
        <v>0</v>
      </c>
      <c r="C24" s="36">
        <f>IF(_DCA2&gt;0,(GROSS-EPMC-OASDI-MED+Flex_Cash-Total_Flex-VOLDEDS-_DCA2-FTAX2-STAX2-B21-_SDI1-OPEB),"")</f>
        <v>-100</v>
      </c>
      <c r="D24" s="36">
        <f>IF(_DCA3&gt;0,(GROSS-EPMC-OASDI-MED+Flex_Cash-Total_Flex-VOLDEDS-_DCA3-FTAX3-STAX3-B21-_SDI1-OPEB),"")</f>
        <v>-200</v>
      </c>
      <c r="E24" s="36">
        <f>IF(_DCA4&gt;0,(GROSS-EPMC-OASDI-MED+Flex_Cash-Total_Flex-VOLDEDS-_DCA4-FTAX4-STAX4-B21-_SDI1-OPEB),"")</f>
        <v>-300</v>
      </c>
      <c r="F24" s="36">
        <f>IF(_DCA5&gt;0,(GROSS-EPMC-OASDI-MED+Flex_Cash-Total_Flex-VOLDEDS-_DCA5-FTAX5-STAX5-B21-_SDI1-OPEB),"")</f>
        <v>-400</v>
      </c>
      <c r="G24" s="36">
        <f>IF(_DCA6&gt;0,(GROSS-EPMC-OASDI-MED+Flex_Cash-Total_Flex-VOLDEDS-_DCA6-FTAX6-STAX6-B21-_SDI1-OPEB),"")</f>
        <v>-500</v>
      </c>
      <c r="H24" s="1"/>
      <c r="I24" s="2" t="s">
        <v>55</v>
      </c>
      <c r="J24" s="1"/>
      <c r="K24" s="3"/>
      <c r="L24" s="2" t="s">
        <v>121</v>
      </c>
      <c r="M24" s="5">
        <f>IF(STM="S",SDS,IF(AND(STM="M",STE&lt;2),_SDM1,IF(AND(STM="M",STE&gt;=2),_SDM2,IF(STM="H",SDH,0))))*STE</f>
        <v>0</v>
      </c>
      <c r="N24" s="1"/>
      <c r="O24" s="5">
        <v>379000</v>
      </c>
      <c r="P24" s="5">
        <v>0.32</v>
      </c>
      <c r="Q24" s="5">
        <v>74208</v>
      </c>
      <c r="R24" s="1"/>
      <c r="S24" s="21">
        <v>157650</v>
      </c>
      <c r="T24" s="29">
        <v>6.5000000000000002E-2</v>
      </c>
      <c r="U24" s="5">
        <v>9832</v>
      </c>
      <c r="V24" s="1"/>
      <c r="W24" s="1"/>
      <c r="X24" s="1"/>
      <c r="Y24" s="68" t="s">
        <v>262</v>
      </c>
      <c r="Z24" s="69">
        <v>0.06</v>
      </c>
      <c r="AA24" s="1">
        <v>317</v>
      </c>
      <c r="AB24" s="70" t="s">
        <v>177</v>
      </c>
      <c r="AC24" s="1"/>
      <c r="AD24" s="90" t="s">
        <v>701</v>
      </c>
      <c r="AE24" s="92">
        <v>0.03</v>
      </c>
    </row>
    <row r="25" spans="1:31">
      <c r="A25" s="2" t="s">
        <v>48</v>
      </c>
      <c r="B25" s="37"/>
      <c r="C25" s="38">
        <f>IF(_DCA2&gt;0,($B$24-C24),"")</f>
        <v>100</v>
      </c>
      <c r="D25" s="38">
        <f>IF(_DCA3&gt;0,($B$24-D24),"")</f>
        <v>200</v>
      </c>
      <c r="E25" s="38">
        <f>IF(_DCA4&gt;0,($B$24-E24),"")</f>
        <v>300</v>
      </c>
      <c r="F25" s="38">
        <f>IF(_DCA5&gt;0,($B$24-F24),"")</f>
        <v>400</v>
      </c>
      <c r="G25" s="38">
        <f>IF(_DCA6&gt;0,($B$24-G24),"")</f>
        <v>500</v>
      </c>
      <c r="H25" s="1"/>
      <c r="I25" s="2" t="s">
        <v>57</v>
      </c>
      <c r="J25" s="5">
        <f>(PAYFACT*_TG1)</f>
        <v>0</v>
      </c>
      <c r="K25" s="3"/>
      <c r="L25" s="2" t="s">
        <v>122</v>
      </c>
      <c r="M25" s="5">
        <f>IF(AND(B15="S",B16=0),T61,IF(AND(B15="S",B16=1),U61,IF(AND(B15="S",B16&gt;=2),V61,IF(AND(B15="M",B16=0),T62,IF(OR(AND(B15="M",B15="H"),B16=1),U62,IF(OR(AND(B15="M",B15="H"),B16&gt;=2),V62,0))))))</f>
        <v>0</v>
      </c>
      <c r="N25" s="1"/>
      <c r="O25" s="5">
        <v>477300</v>
      </c>
      <c r="P25" s="25">
        <v>0.35</v>
      </c>
      <c r="Q25" s="5">
        <v>105664</v>
      </c>
      <c r="R25" s="1"/>
      <c r="S25" s="21">
        <v>215400</v>
      </c>
      <c r="T25" s="29">
        <v>0.1101</v>
      </c>
      <c r="U25" s="5">
        <v>13586</v>
      </c>
      <c r="V25" s="1"/>
      <c r="W25" s="1"/>
      <c r="X25" s="1"/>
      <c r="Y25" s="68" t="s">
        <v>263</v>
      </c>
      <c r="Z25" s="69">
        <v>0.01</v>
      </c>
      <c r="AA25" s="1">
        <v>317</v>
      </c>
      <c r="AB25" s="70" t="s">
        <v>177</v>
      </c>
      <c r="AC25" s="1"/>
      <c r="AD25" s="90" t="s">
        <v>702</v>
      </c>
      <c r="AE25" s="92">
        <v>0.03</v>
      </c>
    </row>
    <row r="26" spans="1:31">
      <c r="A26" s="2" t="s">
        <v>49</v>
      </c>
      <c r="B26" s="38">
        <f>(FTAX1)</f>
        <v>0</v>
      </c>
      <c r="C26" s="38">
        <f>IF(_DCA2&gt;0,FTAX2,"")</f>
        <v>0</v>
      </c>
      <c r="D26" s="38">
        <f>IF(_DCA3&gt;0,FTAX3,"")</f>
        <v>0</v>
      </c>
      <c r="E26" s="38">
        <f>IF(_DCA4&gt;0,FTAX4,"")</f>
        <v>0</v>
      </c>
      <c r="F26" s="38">
        <f>IF(_DCA5&gt;0,FTAX5,"")</f>
        <v>0</v>
      </c>
      <c r="G26" s="38">
        <f>IF(_DCA6&gt;0,FTAX6,"")</f>
        <v>0</v>
      </c>
      <c r="H26" s="1"/>
      <c r="I26" s="2" t="s">
        <v>59</v>
      </c>
      <c r="J26" s="5">
        <f>(PAYFACT*_TG2)</f>
        <v>-1200</v>
      </c>
      <c r="K26" s="3"/>
      <c r="L26" s="2" t="s">
        <v>123</v>
      </c>
      <c r="M26" s="5">
        <f>IF(STE&lt;3,0,STE-2)</f>
        <v>0</v>
      </c>
      <c r="N26" s="1"/>
      <c r="O26" s="5">
        <v>708550</v>
      </c>
      <c r="P26" s="27">
        <v>0.37</v>
      </c>
      <c r="Q26" s="5">
        <v>186601.5</v>
      </c>
      <c r="R26" s="1"/>
      <c r="S26" s="21">
        <v>265400</v>
      </c>
      <c r="T26" s="29">
        <v>7.3499999999999996E-2</v>
      </c>
      <c r="U26" s="5">
        <v>19092</v>
      </c>
      <c r="V26" s="1"/>
      <c r="W26" s="1"/>
      <c r="X26" s="1"/>
      <c r="Y26" s="68" t="s">
        <v>264</v>
      </c>
      <c r="Z26" s="69">
        <v>0.06</v>
      </c>
      <c r="AA26" s="1">
        <v>317</v>
      </c>
      <c r="AB26" s="70" t="s">
        <v>9</v>
      </c>
      <c r="AC26" s="1"/>
      <c r="AD26" s="90" t="s">
        <v>703</v>
      </c>
      <c r="AE26" s="92">
        <v>0.03</v>
      </c>
    </row>
    <row r="27" spans="1:31">
      <c r="A27" s="2" t="s">
        <v>50</v>
      </c>
      <c r="B27" s="38">
        <f>(STAX1)</f>
        <v>0</v>
      </c>
      <c r="C27" s="38">
        <f>IF(_DCA2&gt;0,STAX2,"")</f>
        <v>0</v>
      </c>
      <c r="D27" s="38">
        <f>IF(_DCA3&gt;0,STAX3,"")</f>
        <v>0</v>
      </c>
      <c r="E27" s="38">
        <f>IF(_DCA4&gt;0,STAX4,"")</f>
        <v>0</v>
      </c>
      <c r="F27" s="38">
        <f>IF(_DCA5&gt;0,STAX5,"")</f>
        <v>0</v>
      </c>
      <c r="G27" s="38">
        <f>IF(_DCA6&gt;0,STAX6,"")</f>
        <v>0</v>
      </c>
      <c r="H27" s="1"/>
      <c r="I27" s="2" t="s">
        <v>61</v>
      </c>
      <c r="J27" s="5">
        <f>(PAYFACT*_TG3)</f>
        <v>-2400</v>
      </c>
      <c r="K27" s="3"/>
      <c r="L27" s="2" t="s">
        <v>124</v>
      </c>
      <c r="M27" s="5">
        <f>IF(STM="S",TCRSR,TCRMR)</f>
        <v>0</v>
      </c>
      <c r="N27" s="1"/>
      <c r="O27" s="5"/>
      <c r="P27" s="5"/>
      <c r="Q27" s="5"/>
      <c r="R27" s="1"/>
      <c r="S27" s="21">
        <v>1077550</v>
      </c>
      <c r="T27" s="29">
        <v>0.1045</v>
      </c>
      <c r="U27" s="5">
        <v>0</v>
      </c>
      <c r="V27" s="1"/>
      <c r="W27" s="1"/>
      <c r="X27" s="1"/>
      <c r="Y27" s="68" t="s">
        <v>186</v>
      </c>
      <c r="Z27" s="69">
        <v>3.7499999999999999E-2</v>
      </c>
      <c r="AA27" s="1">
        <v>0</v>
      </c>
      <c r="AB27" s="70" t="s">
        <v>9</v>
      </c>
      <c r="AC27" s="1"/>
      <c r="AD27" s="90" t="s">
        <v>704</v>
      </c>
      <c r="AE27" s="92">
        <v>0.03</v>
      </c>
    </row>
    <row r="28" spans="1:31">
      <c r="A28" s="2" t="s">
        <v>52</v>
      </c>
      <c r="B28" s="38">
        <f t="shared" ref="B28:G28" si="0">EPMC</f>
        <v>0</v>
      </c>
      <c r="C28" s="38">
        <f t="shared" si="0"/>
        <v>0</v>
      </c>
      <c r="D28" s="38">
        <f t="shared" si="0"/>
        <v>0</v>
      </c>
      <c r="E28" s="38">
        <f t="shared" si="0"/>
        <v>0</v>
      </c>
      <c r="F28" s="38">
        <f t="shared" si="0"/>
        <v>0</v>
      </c>
      <c r="G28" s="38">
        <f t="shared" si="0"/>
        <v>0</v>
      </c>
      <c r="H28" s="1"/>
      <c r="I28" s="2" t="s">
        <v>63</v>
      </c>
      <c r="J28" s="5">
        <f>(PAYFACT*_TG4)</f>
        <v>-3600</v>
      </c>
      <c r="K28" s="3"/>
      <c r="L28" s="2" t="s">
        <v>125</v>
      </c>
      <c r="M28" s="5">
        <f>(TXCRB+(TXCROV2*TXCRR))</f>
        <v>0</v>
      </c>
      <c r="N28" s="1"/>
      <c r="O28" s="55" t="s">
        <v>508</v>
      </c>
      <c r="P28" s="55"/>
      <c r="Q28" s="55"/>
      <c r="R28" s="1"/>
      <c r="S28" s="21">
        <v>5000000</v>
      </c>
      <c r="T28" s="29">
        <v>0.111</v>
      </c>
      <c r="U28" s="5">
        <v>0</v>
      </c>
      <c r="V28" s="1"/>
      <c r="W28" s="1"/>
      <c r="X28" s="1"/>
      <c r="Y28" s="68" t="s">
        <v>187</v>
      </c>
      <c r="Z28" s="69">
        <v>0</v>
      </c>
      <c r="AA28" s="1">
        <v>0</v>
      </c>
      <c r="AB28" s="70" t="s">
        <v>177</v>
      </c>
      <c r="AC28" s="1"/>
      <c r="AD28" s="90" t="s">
        <v>705</v>
      </c>
      <c r="AE28" s="93">
        <v>1.4E-2</v>
      </c>
    </row>
    <row r="29" spans="1:31">
      <c r="A29" s="2" t="s">
        <v>803</v>
      </c>
      <c r="B29" s="38">
        <f t="shared" ref="B29:G29" si="1">OPEB</f>
        <v>0</v>
      </c>
      <c r="C29" s="38">
        <f t="shared" si="1"/>
        <v>0</v>
      </c>
      <c r="D29" s="38">
        <f t="shared" si="1"/>
        <v>0</v>
      </c>
      <c r="E29" s="38">
        <f t="shared" si="1"/>
        <v>0</v>
      </c>
      <c r="F29" s="38">
        <f t="shared" si="1"/>
        <v>0</v>
      </c>
      <c r="G29" s="38">
        <f t="shared" si="1"/>
        <v>0</v>
      </c>
      <c r="H29" s="1"/>
      <c r="I29" s="2" t="s">
        <v>65</v>
      </c>
      <c r="J29" s="5">
        <f>(PAYFACT*_TG5)</f>
        <v>-4800</v>
      </c>
      <c r="K29" s="3"/>
      <c r="L29" s="2"/>
      <c r="M29" s="5"/>
      <c r="N29" s="1"/>
      <c r="O29" s="2" t="s">
        <v>13</v>
      </c>
      <c r="P29" s="2" t="s">
        <v>14</v>
      </c>
      <c r="Q29" s="2" t="s">
        <v>15</v>
      </c>
      <c r="R29" s="1"/>
      <c r="S29" s="21">
        <v>25000000</v>
      </c>
      <c r="T29" s="29">
        <v>0.11700000000000001</v>
      </c>
      <c r="U29" s="5">
        <v>0</v>
      </c>
      <c r="V29" s="1"/>
      <c r="W29" s="1"/>
      <c r="X29" s="1"/>
      <c r="Y29" s="68" t="s">
        <v>231</v>
      </c>
      <c r="Z29" s="69">
        <v>0.06</v>
      </c>
      <c r="AA29" s="1">
        <v>238</v>
      </c>
      <c r="AB29" s="70" t="s">
        <v>177</v>
      </c>
      <c r="AC29" s="1"/>
      <c r="AD29" s="90" t="s">
        <v>706</v>
      </c>
      <c r="AE29" s="92">
        <v>0.03</v>
      </c>
    </row>
    <row r="30" spans="1:31">
      <c r="A30" s="2" t="s">
        <v>54</v>
      </c>
      <c r="B30" s="38">
        <f t="shared" ref="B30:G30" si="2">OASDI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  <c r="H30" s="1"/>
      <c r="I30" s="2" t="s">
        <v>66</v>
      </c>
      <c r="J30" s="5">
        <f>(PAYFACT*_TG6)</f>
        <v>-6000</v>
      </c>
      <c r="K30" s="3"/>
      <c r="L30" s="2"/>
      <c r="M30" s="5"/>
      <c r="N30" s="1"/>
      <c r="O30" s="5">
        <v>-999999</v>
      </c>
      <c r="P30" s="5">
        <v>0</v>
      </c>
      <c r="Q30" s="5">
        <v>0</v>
      </c>
      <c r="R30" s="1"/>
      <c r="S30" s="21"/>
      <c r="T30" s="29"/>
      <c r="U30" s="5"/>
      <c r="V30" s="1"/>
      <c r="W30" s="1"/>
      <c r="X30" s="1"/>
      <c r="Y30" s="68" t="s">
        <v>232</v>
      </c>
      <c r="Z30" s="69">
        <v>0.06</v>
      </c>
      <c r="AA30" s="1">
        <v>238</v>
      </c>
      <c r="AB30" s="70" t="s">
        <v>9</v>
      </c>
      <c r="AC30" s="1"/>
      <c r="AD30" s="90" t="s">
        <v>707</v>
      </c>
      <c r="AE30" s="92">
        <v>0.03</v>
      </c>
    </row>
    <row r="31" spans="1:31">
      <c r="A31" s="2" t="s">
        <v>56</v>
      </c>
      <c r="B31" s="38">
        <f t="shared" ref="B31:G31" si="3">MED</f>
        <v>0</v>
      </c>
      <c r="C31" s="38">
        <f t="shared" si="3"/>
        <v>0</v>
      </c>
      <c r="D31" s="38">
        <f t="shared" si="3"/>
        <v>0</v>
      </c>
      <c r="E31" s="38">
        <f t="shared" si="3"/>
        <v>0</v>
      </c>
      <c r="F31" s="38">
        <f t="shared" si="3"/>
        <v>0</v>
      </c>
      <c r="G31" s="38">
        <f t="shared" si="3"/>
        <v>0</v>
      </c>
      <c r="H31" s="1"/>
      <c r="I31" s="1"/>
      <c r="J31" s="1"/>
      <c r="K31" s="3"/>
      <c r="L31" s="2"/>
      <c r="M31" s="5"/>
      <c r="N31" s="1"/>
      <c r="O31" s="5">
        <v>12200</v>
      </c>
      <c r="P31" s="5">
        <v>0.1</v>
      </c>
      <c r="Q31" s="5">
        <v>0</v>
      </c>
      <c r="R31" s="1"/>
      <c r="S31" s="1"/>
      <c r="T31" s="1"/>
      <c r="U31" s="1"/>
      <c r="V31" s="1"/>
      <c r="W31" s="1"/>
      <c r="X31" s="1"/>
      <c r="Y31" s="68" t="s">
        <v>265</v>
      </c>
      <c r="Z31" s="69">
        <v>0.06</v>
      </c>
      <c r="AA31" s="1">
        <v>317</v>
      </c>
      <c r="AB31" s="70" t="s">
        <v>9</v>
      </c>
      <c r="AC31" s="1"/>
      <c r="AD31" s="90" t="s">
        <v>708</v>
      </c>
      <c r="AE31" s="93">
        <v>2.5999999999999999E-2</v>
      </c>
    </row>
    <row r="32" spans="1:31">
      <c r="A32" s="2" t="s">
        <v>175</v>
      </c>
      <c r="B32" s="38">
        <f t="shared" ref="B32:G32" si="4">_SDI1</f>
        <v>0</v>
      </c>
      <c r="C32" s="38">
        <f t="shared" si="4"/>
        <v>0</v>
      </c>
      <c r="D32" s="38">
        <f t="shared" si="4"/>
        <v>0</v>
      </c>
      <c r="E32" s="38">
        <f t="shared" si="4"/>
        <v>0</v>
      </c>
      <c r="F32" s="38">
        <f t="shared" si="4"/>
        <v>0</v>
      </c>
      <c r="G32" s="38">
        <f t="shared" si="4"/>
        <v>0</v>
      </c>
      <c r="H32" s="1"/>
      <c r="I32" s="55" t="s">
        <v>846</v>
      </c>
      <c r="J32" s="55"/>
      <c r="K32" s="3"/>
      <c r="L32" s="55" t="s">
        <v>846</v>
      </c>
      <c r="M32" s="55"/>
      <c r="N32" s="1"/>
      <c r="O32" s="5">
        <v>27900</v>
      </c>
      <c r="P32" s="5">
        <v>0.12</v>
      </c>
      <c r="Q32" s="5">
        <v>1570</v>
      </c>
      <c r="R32" s="1"/>
      <c r="S32" s="55" t="s">
        <v>68</v>
      </c>
      <c r="T32" s="55"/>
      <c r="U32" s="55"/>
      <c r="V32" s="1"/>
      <c r="W32" s="1"/>
      <c r="X32" s="1"/>
      <c r="Y32" s="68" t="s">
        <v>266</v>
      </c>
      <c r="Z32" s="69">
        <v>0.06</v>
      </c>
      <c r="AA32" s="1">
        <v>317</v>
      </c>
      <c r="AB32" s="70" t="s">
        <v>177</v>
      </c>
      <c r="AC32" s="1"/>
      <c r="AD32" s="90" t="s">
        <v>709</v>
      </c>
      <c r="AE32" s="92">
        <v>0.04</v>
      </c>
    </row>
    <row r="33" spans="1:31">
      <c r="A33" s="2" t="s">
        <v>58</v>
      </c>
      <c r="B33" s="38">
        <f>J14</f>
        <v>0</v>
      </c>
      <c r="C33" s="38">
        <f>J15</f>
        <v>-100</v>
      </c>
      <c r="D33" s="38">
        <f>J16</f>
        <v>-200</v>
      </c>
      <c r="E33" s="38">
        <f>J17</f>
        <v>-300</v>
      </c>
      <c r="F33" s="38">
        <f>J18</f>
        <v>-400</v>
      </c>
      <c r="G33" s="38">
        <f>J19</f>
        <v>-500</v>
      </c>
      <c r="H33" s="1"/>
      <c r="I33" s="2" t="s">
        <v>69</v>
      </c>
      <c r="J33" s="5">
        <f>IF(FedHW&lt;&gt;"",(_FAN1-FEDEXM-Fed_Deds+Fed_Oth_Inc),(_FAN1-FEDEXM))</f>
        <v>0</v>
      </c>
      <c r="K33" s="5"/>
      <c r="L33" s="2" t="s">
        <v>126</v>
      </c>
      <c r="M33" s="5">
        <f>IF((PAYFACT*_TG1)-ADDALLOW-SDED&lt;=0,0,(PAYFACT*_TG1)-ADDALLOW-SDED)</f>
        <v>0</v>
      </c>
      <c r="N33" s="1"/>
      <c r="O33" s="5">
        <v>72050</v>
      </c>
      <c r="P33" s="5">
        <v>0.22</v>
      </c>
      <c r="Q33" s="5">
        <v>6868</v>
      </c>
      <c r="R33" s="1"/>
      <c r="S33" s="2" t="s">
        <v>13</v>
      </c>
      <c r="T33" s="2" t="s">
        <v>14</v>
      </c>
      <c r="U33" s="2" t="s">
        <v>15</v>
      </c>
      <c r="V33" s="1"/>
      <c r="W33" s="1"/>
      <c r="X33" s="1"/>
      <c r="Y33" s="68" t="s">
        <v>267</v>
      </c>
      <c r="Z33" s="69">
        <v>0.11</v>
      </c>
      <c r="AA33" s="1">
        <v>317</v>
      </c>
      <c r="AB33" s="70" t="s">
        <v>9</v>
      </c>
      <c r="AC33" s="1"/>
      <c r="AD33" s="90" t="s">
        <v>710</v>
      </c>
      <c r="AE33" s="92">
        <v>0.04</v>
      </c>
    </row>
    <row r="34" spans="1:31">
      <c r="A34" s="2" t="s">
        <v>60</v>
      </c>
      <c r="B34" s="38">
        <f>J14</f>
        <v>0</v>
      </c>
      <c r="C34" s="38">
        <f>J15</f>
        <v>-100</v>
      </c>
      <c r="D34" s="38">
        <f>J16</f>
        <v>-200</v>
      </c>
      <c r="E34" s="38">
        <f>J17</f>
        <v>-300</v>
      </c>
      <c r="F34" s="38">
        <f>J18</f>
        <v>-400</v>
      </c>
      <c r="G34" s="38">
        <f>J19</f>
        <v>-500</v>
      </c>
      <c r="H34" s="1"/>
      <c r="I34" s="2" t="s">
        <v>70</v>
      </c>
      <c r="J34" s="5">
        <f>IF(FedHW&lt;&gt;"",(J26-FEDEXM-Fed_Deds+Fed_Oth_Inc),(J26-FEDEXM))</f>
        <v>-1200</v>
      </c>
      <c r="K34" s="5"/>
      <c r="L34" s="2" t="s">
        <v>127</v>
      </c>
      <c r="M34" s="5">
        <f>IF((PAYFACT*_TG2)-ADDALLOW-SDED&lt;=0,0,(PAYFACT*_TG2)-ADDALLOW-SDED)</f>
        <v>0</v>
      </c>
      <c r="N34" s="1"/>
      <c r="O34" s="5">
        <v>107550</v>
      </c>
      <c r="P34" s="5">
        <v>0.24</v>
      </c>
      <c r="Q34" s="5">
        <v>14678</v>
      </c>
      <c r="R34" s="1"/>
      <c r="S34" s="21">
        <v>0</v>
      </c>
      <c r="T34" s="29">
        <v>0.04</v>
      </c>
      <c r="U34" s="5">
        <v>0</v>
      </c>
      <c r="V34" s="1"/>
      <c r="W34" s="1"/>
      <c r="X34" s="1"/>
      <c r="Y34" s="68" t="s">
        <v>268</v>
      </c>
      <c r="Z34" s="69">
        <v>7.0000000000000007E-2</v>
      </c>
      <c r="AA34" s="1">
        <v>317</v>
      </c>
      <c r="AB34" s="70" t="s">
        <v>177</v>
      </c>
      <c r="AC34" s="1"/>
      <c r="AD34" s="90" t="s">
        <v>711</v>
      </c>
      <c r="AE34" s="92">
        <v>3.4000000000000002E-2</v>
      </c>
    </row>
    <row r="35" spans="1:31">
      <c r="A35" s="2" t="s">
        <v>62</v>
      </c>
      <c r="B35" s="38">
        <f t="shared" ref="B35:G35" si="5">$J$10</f>
        <v>0</v>
      </c>
      <c r="C35" s="38">
        <f t="shared" si="5"/>
        <v>0</v>
      </c>
      <c r="D35" s="38">
        <f t="shared" si="5"/>
        <v>0</v>
      </c>
      <c r="E35" s="38">
        <f t="shared" si="5"/>
        <v>0</v>
      </c>
      <c r="F35" s="38">
        <f t="shared" si="5"/>
        <v>0</v>
      </c>
      <c r="G35" s="38">
        <f t="shared" si="5"/>
        <v>0</v>
      </c>
      <c r="H35" s="1"/>
      <c r="I35" s="2" t="s">
        <v>71</v>
      </c>
      <c r="J35" s="5">
        <f>IF(FedHW&lt;&gt;"",(J27-FEDEXM-Fed_Deds+Fed_Oth_Inc),(J27-FEDEXM))</f>
        <v>-2400</v>
      </c>
      <c r="K35" s="5"/>
      <c r="L35" s="2" t="s">
        <v>128</v>
      </c>
      <c r="M35" s="5">
        <f>IF((PAYFACT*_TG3)-ADDALLOW-SDED&lt;=0,0,(PAYFACT*_TG3)-ADDALLOW-SDED)</f>
        <v>0</v>
      </c>
      <c r="N35" s="1"/>
      <c r="O35" s="5">
        <v>194300</v>
      </c>
      <c r="P35" s="25">
        <v>0.32</v>
      </c>
      <c r="Q35" s="5">
        <v>35498</v>
      </c>
      <c r="R35" s="1"/>
      <c r="S35" s="21">
        <v>8500</v>
      </c>
      <c r="T35" s="29">
        <v>4.4999999999999998E-2</v>
      </c>
      <c r="U35" s="5">
        <v>340</v>
      </c>
      <c r="V35" s="1"/>
      <c r="W35" s="1"/>
      <c r="X35" s="1"/>
      <c r="Y35" s="68" t="s">
        <v>269</v>
      </c>
      <c r="Z35" s="69">
        <v>0.11</v>
      </c>
      <c r="AA35" s="1">
        <v>317</v>
      </c>
      <c r="AB35" s="70" t="s">
        <v>177</v>
      </c>
      <c r="AC35" s="1"/>
      <c r="AD35" s="90" t="s">
        <v>712</v>
      </c>
      <c r="AE35" s="92">
        <v>0.02</v>
      </c>
    </row>
    <row r="36" spans="1:31" ht="16.5" thickBot="1">
      <c r="A36" s="32" t="s">
        <v>64</v>
      </c>
      <c r="B36" s="39">
        <f t="shared" ref="B36:G36" si="6">$J$11</f>
        <v>0</v>
      </c>
      <c r="C36" s="39">
        <f t="shared" si="6"/>
        <v>0</v>
      </c>
      <c r="D36" s="39">
        <f t="shared" si="6"/>
        <v>0</v>
      </c>
      <c r="E36" s="39">
        <f t="shared" si="6"/>
        <v>0</v>
      </c>
      <c r="F36" s="39">
        <f t="shared" si="6"/>
        <v>0</v>
      </c>
      <c r="G36" s="39">
        <f t="shared" si="6"/>
        <v>0</v>
      </c>
      <c r="H36" s="1"/>
      <c r="I36" s="2" t="s">
        <v>72</v>
      </c>
      <c r="J36" s="5">
        <f>IF(FedHW&lt;&gt;"",(J28-FEDEXM-Fed_Deds+Fed_Oth_Inc),(J28-FEDEXM))</f>
        <v>-3600</v>
      </c>
      <c r="K36" s="5"/>
      <c r="L36" s="2" t="s">
        <v>129</v>
      </c>
      <c r="M36" s="5">
        <f>IF((PAYFACT*_TG4)-ADDALLOW-SDED&lt;=0,0,(PAYFACT*_TG4)-ADDALLOW-SDED)</f>
        <v>0</v>
      </c>
      <c r="N36" s="1"/>
      <c r="O36" s="5">
        <v>243450</v>
      </c>
      <c r="P36" s="25">
        <v>0.35</v>
      </c>
      <c r="Q36" s="5">
        <v>51226</v>
      </c>
      <c r="R36" s="1"/>
      <c r="S36" s="21">
        <v>11700</v>
      </c>
      <c r="T36" s="29">
        <v>5.2499999999999998E-2</v>
      </c>
      <c r="U36" s="5">
        <v>484</v>
      </c>
      <c r="V36" s="1"/>
      <c r="W36" s="1"/>
      <c r="X36" s="1"/>
      <c r="Y36" s="68" t="s">
        <v>270</v>
      </c>
      <c r="Z36" s="69">
        <v>0.11</v>
      </c>
      <c r="AA36" s="1">
        <v>317</v>
      </c>
      <c r="AB36" s="70" t="s">
        <v>9</v>
      </c>
      <c r="AC36" s="1"/>
      <c r="AD36" s="90" t="s">
        <v>713</v>
      </c>
      <c r="AE36" s="92">
        <v>2.1000000000000001E-2</v>
      </c>
    </row>
    <row r="37" spans="1:31">
      <c r="A37" s="1"/>
      <c r="B37" s="1"/>
      <c r="C37" s="1"/>
      <c r="D37" s="1"/>
      <c r="E37" s="1"/>
      <c r="F37" s="1"/>
      <c r="G37" s="61" t="s">
        <v>840</v>
      </c>
      <c r="H37" s="1"/>
      <c r="I37" s="2" t="s">
        <v>73</v>
      </c>
      <c r="J37" s="5">
        <f>IF(FedHW&lt;&gt;"",(J29-FEDEXM-Fed_Deds+Fed_Oth_Inc),(J29-FEDEXM))</f>
        <v>-4800</v>
      </c>
      <c r="K37" s="5"/>
      <c r="L37" s="2" t="s">
        <v>130</v>
      </c>
      <c r="M37" s="5">
        <f>IF((PAYFACT*_TG5)-ADDALLOW-SDED&lt;=0,0,(PAYFACT*_TG5)-ADDALLOW-SDED)</f>
        <v>0</v>
      </c>
      <c r="N37" s="1"/>
      <c r="O37" s="5">
        <v>590300</v>
      </c>
      <c r="P37" s="27">
        <v>0.37</v>
      </c>
      <c r="Q37" s="5">
        <v>172623.5</v>
      </c>
      <c r="R37" s="1"/>
      <c r="S37" s="21">
        <v>13900</v>
      </c>
      <c r="T37" s="29">
        <v>5.5E-2</v>
      </c>
      <c r="U37" s="5">
        <v>600</v>
      </c>
      <c r="V37" s="1"/>
      <c r="W37" s="1"/>
      <c r="X37" s="1"/>
      <c r="Y37" s="68" t="s">
        <v>271</v>
      </c>
      <c r="Z37" s="69">
        <v>0.11</v>
      </c>
      <c r="AA37" s="1">
        <v>317</v>
      </c>
      <c r="AB37" s="70" t="s">
        <v>9</v>
      </c>
      <c r="AC37" s="1"/>
      <c r="AD37" s="90" t="s">
        <v>714</v>
      </c>
      <c r="AE37" s="92">
        <v>0.03</v>
      </c>
    </row>
    <row r="38" spans="1:31">
      <c r="A38" s="1"/>
      <c r="B38" s="1"/>
      <c r="C38" s="56" t="s">
        <v>67</v>
      </c>
      <c r="D38" s="1"/>
      <c r="E38" s="1"/>
      <c r="F38" s="1"/>
      <c r="G38" s="1"/>
      <c r="H38" s="1"/>
      <c r="I38" s="2" t="s">
        <v>74</v>
      </c>
      <c r="J38" s="5">
        <f>IF(FedHW&lt;&gt;"",(J30-FEDEXM-Fed_Deds+Fed_Oth_Inc),(J30-FEDEXM))</f>
        <v>-6000</v>
      </c>
      <c r="K38" s="5"/>
      <c r="L38" s="2" t="s">
        <v>131</v>
      </c>
      <c r="M38" s="5">
        <f>IF((PAYFACT*_TG6)-ADDALLOW-SDED&lt;=0,0,(PAYFACT*_TG6)-ADDALLOW-SDED)</f>
        <v>0</v>
      </c>
      <c r="N38" s="1"/>
      <c r="O38" s="1"/>
      <c r="P38" s="1"/>
      <c r="Q38" s="1"/>
      <c r="R38" s="1"/>
      <c r="S38" s="21">
        <v>80650</v>
      </c>
      <c r="T38" s="29">
        <v>0.06</v>
      </c>
      <c r="U38" s="5">
        <v>4271</v>
      </c>
      <c r="V38" s="1"/>
      <c r="W38" s="1"/>
      <c r="X38" s="1"/>
      <c r="Y38" s="68" t="s">
        <v>272</v>
      </c>
      <c r="Z38" s="69">
        <v>0.11</v>
      </c>
      <c r="AA38" s="1">
        <v>317</v>
      </c>
      <c r="AB38" s="70" t="s">
        <v>177</v>
      </c>
      <c r="AC38" s="1"/>
      <c r="AD38" s="90" t="s">
        <v>715</v>
      </c>
      <c r="AE38" s="93">
        <v>3.5999999999999997E-2</v>
      </c>
    </row>
    <row r="39" spans="1:31">
      <c r="A39" s="1"/>
      <c r="B39" s="1"/>
      <c r="C39" s="1"/>
      <c r="D39" s="1"/>
      <c r="E39" s="1"/>
      <c r="F39" s="1"/>
      <c r="G39" s="1"/>
      <c r="H39" s="1"/>
      <c r="I39" s="1"/>
      <c r="J39" s="1"/>
      <c r="K39" s="5"/>
      <c r="L39" s="1"/>
      <c r="M39" s="1"/>
      <c r="N39" s="1"/>
      <c r="O39" s="55" t="s">
        <v>516</v>
      </c>
      <c r="P39" s="55"/>
      <c r="Q39" s="55"/>
      <c r="R39" s="1"/>
      <c r="S39" s="21">
        <v>96800</v>
      </c>
      <c r="T39" s="29">
        <v>6.6699999999999995E-2</v>
      </c>
      <c r="U39" s="5">
        <v>5240</v>
      </c>
      <c r="V39" s="1"/>
      <c r="W39" s="1"/>
      <c r="X39" s="1"/>
      <c r="Y39" s="68" t="s">
        <v>273</v>
      </c>
      <c r="Z39" s="69">
        <v>0.11</v>
      </c>
      <c r="AA39" s="1">
        <v>317</v>
      </c>
      <c r="AB39" s="70" t="s">
        <v>9</v>
      </c>
      <c r="AC39" s="1"/>
      <c r="AD39" s="90" t="s">
        <v>716</v>
      </c>
      <c r="AE39" s="93">
        <v>0.03</v>
      </c>
    </row>
    <row r="40" spans="1:31">
      <c r="A40" s="1" t="s">
        <v>476</v>
      </c>
      <c r="B40" s="1"/>
      <c r="C40" s="1"/>
      <c r="D40" s="1"/>
      <c r="E40" s="1"/>
      <c r="F40" s="1"/>
      <c r="G40" s="1"/>
      <c r="H40" s="1"/>
      <c r="I40" s="55" t="s">
        <v>847</v>
      </c>
      <c r="J40" s="55"/>
      <c r="K40" s="3"/>
      <c r="L40" s="55" t="s">
        <v>847</v>
      </c>
      <c r="M40" s="55"/>
      <c r="N40" s="1"/>
      <c r="O40" s="2" t="s">
        <v>13</v>
      </c>
      <c r="P40" s="2" t="s">
        <v>14</v>
      </c>
      <c r="Q40" s="2" t="s">
        <v>15</v>
      </c>
      <c r="R40" s="1"/>
      <c r="S40" s="21">
        <v>107650</v>
      </c>
      <c r="T40" s="29">
        <v>7.17E-2</v>
      </c>
      <c r="U40" s="5">
        <v>5963</v>
      </c>
      <c r="V40" s="1"/>
      <c r="W40" s="1"/>
      <c r="X40" s="1"/>
      <c r="Y40" s="68" t="s">
        <v>274</v>
      </c>
      <c r="Z40" s="69">
        <v>0.11</v>
      </c>
      <c r="AA40" s="1">
        <v>317</v>
      </c>
      <c r="AB40" s="70" t="s">
        <v>177</v>
      </c>
      <c r="AC40" s="1"/>
      <c r="AD40" s="90" t="s">
        <v>717</v>
      </c>
      <c r="AE40" s="92">
        <v>0.03</v>
      </c>
    </row>
    <row r="41" spans="1:31">
      <c r="A41" s="1" t="s">
        <v>477</v>
      </c>
      <c r="B41" s="1"/>
      <c r="C41" s="1"/>
      <c r="D41" s="1"/>
      <c r="E41" s="1"/>
      <c r="F41" s="1"/>
      <c r="G41" s="1"/>
      <c r="H41" s="1"/>
      <c r="I41" s="2" t="s">
        <v>76</v>
      </c>
      <c r="J41" s="5">
        <f>IF(FEDM_HW="M",VLOOKUP(_FTG1,FTXTBLM,1),IF(FEDM_HW="A",VLOOKUP(_FTG1,FTXTBLMHW,1),IF(FEDM_HW="S",VLOOKUP(_FTG1,FTXTBLSH,1),IF(FEDM_HW="I",VLOOKUP(_FTG1,FTXTBLSHW,1),IF(FEDM_HW="H",VLOOKUP(_FTG1,FTXBLH,1),IF(FEDM_HW="E",VLOOKUP(_FTG1,FTXTBLHHW,1)))))))</f>
        <v>-999999</v>
      </c>
      <c r="K41" s="5"/>
      <c r="L41" s="2" t="s">
        <v>132</v>
      </c>
      <c r="M41" s="5">
        <f>IF(STM="S",VLOOKUP(_STG1,STXTBLS,1),IF(STM="M",VLOOKUP(_STG1,STXTBLM,1),IF(STM="H",VLOOKUP(_STG1,STXTBLUH,1),0)))</f>
        <v>0</v>
      </c>
      <c r="N41" s="1"/>
      <c r="O41" s="5">
        <v>-999999</v>
      </c>
      <c r="P41" s="5">
        <v>0</v>
      </c>
      <c r="Q41" s="5">
        <v>0</v>
      </c>
      <c r="R41" s="1"/>
      <c r="S41" s="21">
        <v>157650</v>
      </c>
      <c r="T41" s="29">
        <v>8.1100000000000005E-2</v>
      </c>
      <c r="U41" s="5">
        <v>9546</v>
      </c>
      <c r="V41" s="1"/>
      <c r="W41" s="1"/>
      <c r="X41" s="1"/>
      <c r="Y41" s="68" t="s">
        <v>275</v>
      </c>
      <c r="Z41" s="69">
        <v>0.11</v>
      </c>
      <c r="AA41" s="1">
        <v>317</v>
      </c>
      <c r="AB41" s="70" t="s">
        <v>177</v>
      </c>
      <c r="AC41" s="1"/>
      <c r="AD41" s="90" t="s">
        <v>718</v>
      </c>
      <c r="AE41" s="92">
        <v>0.03</v>
      </c>
    </row>
    <row r="42" spans="1:31">
      <c r="A42" s="1" t="s">
        <v>478</v>
      </c>
      <c r="B42" s="1"/>
      <c r="C42" s="2" t="s">
        <v>474</v>
      </c>
      <c r="D42" s="1"/>
      <c r="E42" s="1"/>
      <c r="F42" s="1"/>
      <c r="G42" s="1"/>
      <c r="H42" s="1"/>
      <c r="I42" s="2" t="s">
        <v>77</v>
      </c>
      <c r="J42" s="5">
        <f>IF(FEDM_HW="M",VLOOKUP(J34,FTXTBLM,1),IF(FEDM_HW="A",VLOOKUP(J34,FTXTBLMHW,1),IF(FEDM_HW="S",VLOOKUP(J34,FTXTBLSH,1),IF(FEDM_HW="I",VLOOKUP(J34,FTXTBLSHW,1),IF(FEDM_HW="H",VLOOKUP(J34,FTXBLH,1),IF(FEDM_HW="E",VLOOKUP(J34,FTXTBLHHW,1)))))))</f>
        <v>-999999</v>
      </c>
      <c r="K42" s="1"/>
      <c r="L42" s="2" t="s">
        <v>133</v>
      </c>
      <c r="M42" s="5">
        <f>IF(STM="S",VLOOKUP(M34,STXTBLS,1),IF(STM="M",VLOOKUP(M34,STXTBLM,1),IF(STM="H",VLOOKUP(M34,STXTBLUH,1),0)))</f>
        <v>0</v>
      </c>
      <c r="N42" s="1"/>
      <c r="O42" s="5">
        <v>6925</v>
      </c>
      <c r="P42" s="5">
        <v>0.1</v>
      </c>
      <c r="Q42" s="5">
        <v>0</v>
      </c>
      <c r="R42" s="1"/>
      <c r="S42" s="21">
        <v>211550</v>
      </c>
      <c r="T42" s="29">
        <v>6.5000000000000002E-2</v>
      </c>
      <c r="U42" s="5">
        <v>13919</v>
      </c>
      <c r="V42" s="1"/>
      <c r="W42" s="1"/>
      <c r="X42" s="1"/>
      <c r="Y42" s="68" t="s">
        <v>276</v>
      </c>
      <c r="Z42" s="69">
        <v>0.11</v>
      </c>
      <c r="AA42" s="1">
        <v>317</v>
      </c>
      <c r="AB42" s="70" t="s">
        <v>9</v>
      </c>
      <c r="AC42" s="1"/>
      <c r="AD42" s="90" t="s">
        <v>719</v>
      </c>
      <c r="AE42" s="92">
        <v>1.4E-2</v>
      </c>
    </row>
    <row r="43" spans="1:31">
      <c r="A43" s="1" t="s">
        <v>479</v>
      </c>
      <c r="B43" s="1"/>
      <c r="C43" s="2"/>
      <c r="D43" s="1"/>
      <c r="E43" s="1"/>
      <c r="F43" s="1"/>
      <c r="G43" s="1"/>
      <c r="H43" s="1"/>
      <c r="I43" s="2" t="s">
        <v>78</v>
      </c>
      <c r="J43" s="5">
        <f>IF(FEDM_HW="M",VLOOKUP(J35,FTXTBLM,1),IF(FEDM_HW="A",VLOOKUP(J35,FTXTBLMHW,1),IF(FEDM_HW="S",VLOOKUP(J35,FTXTBLSH,1),IF(FEDM_HW="I",VLOOKUP(J35,FTXTBLSHW,1),IF(FEDM_HW="H",VLOOKUP(J35,FTXBLH,1),IF(FEDM_HW="E",VLOOKUP(J35,FTXTBLHHW,1)))))))</f>
        <v>-999999</v>
      </c>
      <c r="K43" s="1"/>
      <c r="L43" s="2" t="s">
        <v>134</v>
      </c>
      <c r="M43" s="5">
        <f>IF(STM="S",VLOOKUP(M35,STXTBLS,1),IF(STM="M",VLOOKUP(M35,STXTBLM,1),IF(STM="H",VLOOKUP(M35,STXTBLUH,1),0)))</f>
        <v>0</v>
      </c>
      <c r="N43" s="1"/>
      <c r="O43" s="5">
        <v>12425</v>
      </c>
      <c r="P43" s="5">
        <v>0.12</v>
      </c>
      <c r="Q43" s="5">
        <v>550</v>
      </c>
      <c r="R43" s="1"/>
      <c r="S43" s="21">
        <v>323200</v>
      </c>
      <c r="T43" s="29">
        <v>0.12839999999999999</v>
      </c>
      <c r="U43" s="5">
        <v>21177</v>
      </c>
      <c r="V43" s="1"/>
      <c r="W43" s="1"/>
      <c r="X43" s="1"/>
      <c r="Y43" s="68" t="s">
        <v>277</v>
      </c>
      <c r="Z43" s="69">
        <v>0.11</v>
      </c>
      <c r="AA43" s="1">
        <v>317</v>
      </c>
      <c r="AB43" s="70" t="s">
        <v>9</v>
      </c>
      <c r="AC43" s="1"/>
      <c r="AD43" s="90" t="s">
        <v>720</v>
      </c>
      <c r="AE43" s="92">
        <v>0.03</v>
      </c>
    </row>
    <row r="44" spans="1:31">
      <c r="A44" s="1" t="s">
        <v>480</v>
      </c>
      <c r="B44" s="1"/>
      <c r="C44" s="1"/>
      <c r="D44" s="1"/>
      <c r="E44" s="1"/>
      <c r="F44" s="1"/>
      <c r="G44" s="1"/>
      <c r="H44" s="1"/>
      <c r="I44" s="2" t="s">
        <v>80</v>
      </c>
      <c r="J44" s="5">
        <f>IF(FEDM_HW="M",VLOOKUP(J36,FTXTBLM,1),IF(FEDM_HW="A",VLOOKUP(J36,FTXTBLMHW,1),IF(FEDM_HW="S",VLOOKUP(J36,FTXTBLSH,1),IF(FEDM_HW="I",VLOOKUP(J36,FTXTBLSHW,1),IF(FEDM_HW="H",VLOOKUP(J36,FTXBLH,1),IF(FEDM_HW="E",VLOOKUP(J36,FTXTBLHHW,1)))))))</f>
        <v>-999999</v>
      </c>
      <c r="K44" s="5"/>
      <c r="L44" s="2" t="s">
        <v>135</v>
      </c>
      <c r="M44" s="5">
        <f>IF(STM="S",VLOOKUP(M36,STXTBLS,1),IF(STM="M",VLOOKUP(M36,STXTBLM,1),IF(STM="H",VLOOKUP(M36,STXTBLUH,1),0)))</f>
        <v>0</v>
      </c>
      <c r="N44" s="1"/>
      <c r="O44" s="5">
        <v>29288</v>
      </c>
      <c r="P44" s="5">
        <v>0.22</v>
      </c>
      <c r="Q44" s="5">
        <v>2573.5</v>
      </c>
      <c r="R44" s="1"/>
      <c r="S44" s="21">
        <v>373200</v>
      </c>
      <c r="T44" s="29">
        <v>7.3499999999999996E-2</v>
      </c>
      <c r="U44" s="5">
        <v>27599</v>
      </c>
      <c r="V44" s="1"/>
      <c r="W44" s="1"/>
      <c r="X44" s="1"/>
      <c r="Y44" s="68" t="s">
        <v>278</v>
      </c>
      <c r="Z44" s="69">
        <v>0.11</v>
      </c>
      <c r="AA44" s="1">
        <v>317</v>
      </c>
      <c r="AB44" s="70" t="s">
        <v>177</v>
      </c>
      <c r="AC44" s="1"/>
      <c r="AD44" s="90" t="s">
        <v>721</v>
      </c>
      <c r="AE44" s="92">
        <v>0.04</v>
      </c>
    </row>
    <row r="45" spans="1:31">
      <c r="A45" s="2" t="s">
        <v>481</v>
      </c>
      <c r="B45" s="1"/>
      <c r="C45" s="1"/>
      <c r="D45" s="1"/>
      <c r="E45" s="1"/>
      <c r="F45" s="1"/>
      <c r="G45" s="1"/>
      <c r="H45" s="1"/>
      <c r="I45" s="2" t="s">
        <v>81</v>
      </c>
      <c r="J45" s="5">
        <f>IF(FEDM_HW="M",VLOOKUP(J37,FTXTBLM,1),IF(FEDM_HW="A",VLOOKUP(J37,FTXTBLMHW,1),IF(FEDM_HW="S",VLOOKUP(J37,FTXTBLSH,1),IF(FEDM_HW="I",VLOOKUP(J37,FTXTBLSHW,1),IF(FEDM_HW="H",VLOOKUP(J37,FTXBLH,1),IF(FEDM_HW="E",VLOOKUP(J37,FTXTBLHHW,1)))))))</f>
        <v>-999999</v>
      </c>
      <c r="K45" s="5"/>
      <c r="L45" s="2" t="s">
        <v>136</v>
      </c>
      <c r="M45" s="5">
        <f>IF(STM="S",VLOOKUP(M37,STXTBLS,1),IF(STM="M",VLOOKUP(M37,STXTBLM,1),IF(STM="H",VLOOKUP(M37,STXTBLUH,1),0)))</f>
        <v>0</v>
      </c>
      <c r="N45" s="1"/>
      <c r="O45" s="5">
        <v>54613</v>
      </c>
      <c r="P45" s="5">
        <v>0.24</v>
      </c>
      <c r="Q45" s="5">
        <v>8145</v>
      </c>
      <c r="R45" s="1"/>
      <c r="S45" s="21">
        <v>1077550</v>
      </c>
      <c r="T45" s="29">
        <v>7.6499999999999999E-2</v>
      </c>
      <c r="U45" s="5">
        <v>79368</v>
      </c>
      <c r="V45" s="1"/>
      <c r="W45" s="1"/>
      <c r="X45" s="1"/>
      <c r="Y45" s="68" t="s">
        <v>279</v>
      </c>
      <c r="Z45" s="69">
        <v>0.105</v>
      </c>
      <c r="AA45" s="1">
        <v>0</v>
      </c>
      <c r="AB45" s="70" t="s">
        <v>9</v>
      </c>
      <c r="AC45" s="1"/>
      <c r="AD45" s="90" t="s">
        <v>722</v>
      </c>
      <c r="AE45" s="92">
        <v>0.03</v>
      </c>
    </row>
    <row r="46" spans="1:31">
      <c r="A46" s="2"/>
      <c r="B46" s="1"/>
      <c r="C46" s="1"/>
      <c r="D46" s="1"/>
      <c r="E46" s="1"/>
      <c r="F46" s="1"/>
      <c r="G46" s="1"/>
      <c r="H46" s="1"/>
      <c r="I46" s="2" t="s">
        <v>82</v>
      </c>
      <c r="J46" s="5">
        <f>IF(FEDM_HW="M",VLOOKUP(J38,FTXTBLM,1),IF(FEDM_HW="A",VLOOKUP(J38,FTXTBLMHW,1),IF(FEDM_HW="S",VLOOKUP(J38,FTXTBLSH,1),IF(FEDM_HW="I",VLOOKUP(J38,FTXTBLSHW,1),IF(FEDM_HW="H",VLOOKUP(J38,FTXBLH,1),IF(FEDM_HW="E",VLOOKUP(J38,FTXTBLHHW,1)))))))</f>
        <v>-999999</v>
      </c>
      <c r="K46" s="1"/>
      <c r="L46" s="2" t="s">
        <v>137</v>
      </c>
      <c r="M46" s="5">
        <f>IF(STM="S",VLOOKUP(M38,STXTBLS,1),IF(STM="M",VLOOKUP(M38,STXTBLM,1),IF(STM="H",VLOOKUP(M38,STXTBLUH,1),0)))</f>
        <v>0</v>
      </c>
      <c r="N46" s="1"/>
      <c r="O46" s="5">
        <v>97975</v>
      </c>
      <c r="P46" s="25">
        <v>0.32</v>
      </c>
      <c r="Q46" s="5">
        <v>18552</v>
      </c>
      <c r="R46" s="1"/>
      <c r="S46" s="21">
        <v>2155350</v>
      </c>
      <c r="T46" s="29">
        <v>0.1045</v>
      </c>
      <c r="U46" s="5">
        <v>0</v>
      </c>
      <c r="V46" s="1"/>
      <c r="W46" s="1"/>
      <c r="X46" s="1"/>
      <c r="Y46" s="68" t="s">
        <v>280</v>
      </c>
      <c r="Z46" s="69">
        <v>0.06</v>
      </c>
      <c r="AA46" s="1">
        <v>317</v>
      </c>
      <c r="AB46" s="70" t="s">
        <v>177</v>
      </c>
      <c r="AC46" s="1"/>
      <c r="AD46" s="90" t="s">
        <v>723</v>
      </c>
      <c r="AE46" s="92">
        <v>0.03</v>
      </c>
    </row>
    <row r="47" spans="1:31">
      <c r="A47" s="2" t="s">
        <v>6</v>
      </c>
      <c r="B47" s="1"/>
      <c r="C47" s="1" t="s">
        <v>6</v>
      </c>
      <c r="D47" s="1"/>
      <c r="E47" s="1"/>
      <c r="F47" s="1"/>
      <c r="G47" s="1"/>
      <c r="H47" s="1"/>
      <c r="I47" s="1"/>
      <c r="J47" s="1"/>
      <c r="K47" s="5"/>
      <c r="L47" s="1"/>
      <c r="M47" s="1"/>
      <c r="N47" s="1"/>
      <c r="O47" s="5">
        <v>122550</v>
      </c>
      <c r="P47" s="25">
        <v>0.35</v>
      </c>
      <c r="Q47" s="5">
        <v>26416</v>
      </c>
      <c r="R47" s="1"/>
      <c r="S47" s="21">
        <v>5000000</v>
      </c>
      <c r="T47" s="29">
        <v>0.111</v>
      </c>
      <c r="U47" s="5">
        <v>0</v>
      </c>
      <c r="V47" s="1"/>
      <c r="W47" s="1"/>
      <c r="X47" s="1"/>
      <c r="Y47" s="68" t="s">
        <v>281</v>
      </c>
      <c r="Z47" s="69">
        <v>0.11</v>
      </c>
      <c r="AA47" s="1">
        <v>317</v>
      </c>
      <c r="AB47" s="70" t="s">
        <v>9</v>
      </c>
      <c r="AC47" s="1"/>
      <c r="AD47" s="90" t="s">
        <v>724</v>
      </c>
      <c r="AE47" s="92">
        <v>0.03</v>
      </c>
    </row>
    <row r="48" spans="1:31">
      <c r="A48" s="57" t="s">
        <v>75</v>
      </c>
      <c r="B48" s="1"/>
      <c r="C48" s="1" t="s">
        <v>6</v>
      </c>
      <c r="D48" s="1"/>
      <c r="E48" s="1"/>
      <c r="F48" s="1"/>
      <c r="G48" s="1"/>
      <c r="H48" s="1"/>
      <c r="I48" s="55" t="s">
        <v>83</v>
      </c>
      <c r="J48" s="55"/>
      <c r="K48" s="3"/>
      <c r="L48" s="55" t="s">
        <v>138</v>
      </c>
      <c r="M48" s="55"/>
      <c r="N48" s="1"/>
      <c r="O48" s="5">
        <v>295988</v>
      </c>
      <c r="P48" s="27">
        <v>0.37</v>
      </c>
      <c r="Q48" s="5">
        <v>87119.13</v>
      </c>
      <c r="R48" s="1"/>
      <c r="S48" s="21">
        <v>25000000</v>
      </c>
      <c r="T48" s="29">
        <v>0.11700000000000001</v>
      </c>
      <c r="U48" s="5">
        <v>0</v>
      </c>
      <c r="V48" s="1"/>
      <c r="W48" s="1"/>
      <c r="X48" s="1"/>
      <c r="Y48" s="68" t="s">
        <v>282</v>
      </c>
      <c r="Z48" s="69">
        <v>0.105</v>
      </c>
      <c r="AA48" s="1">
        <v>317</v>
      </c>
      <c r="AB48" s="70" t="s">
        <v>177</v>
      </c>
      <c r="AC48" s="1"/>
      <c r="AD48" s="90" t="s">
        <v>725</v>
      </c>
      <c r="AE48" s="92">
        <v>2.4E-2</v>
      </c>
    </row>
    <row r="49" spans="1:31">
      <c r="A49" s="1"/>
      <c r="B49" s="1"/>
      <c r="C49" s="1"/>
      <c r="D49" s="1"/>
      <c r="E49" s="1"/>
      <c r="F49" s="1"/>
      <c r="G49" s="1"/>
      <c r="H49" s="1"/>
      <c r="I49" s="2" t="s">
        <v>84</v>
      </c>
      <c r="J49" s="5">
        <f>IF(FEDM_HW="M",VLOOKUP(_FTG1,FTXTBLM,2),IF(FEDM_HW="A",VLOOKUP(_FTG1,FTXTBLMHW,2),IF(FEDM_HW="S",VLOOKUP(_FTG1,FTXTBLSH,2),IF(FEDM_HW="I",VLOOKUP(_FTG1,FTXTBLSHW,2),IF(FEDM_HW="H",VLOOKUP(_FTG1,FTXBLH,2),IF(FEDM_HW="E",VLOOKUP(_FTG1,FTXTBLHHW,2)))))))</f>
        <v>0</v>
      </c>
      <c r="K49" s="5"/>
      <c r="L49" s="2" t="s">
        <v>139</v>
      </c>
      <c r="M49" s="5">
        <f>IF(STM="S",VLOOKUP(_STG1,STXTBLS,2),IF(STM="M",VLOOKUP(_STG1,STXTBLM,2),IF(STM="H",VLOOKUP(_STG1,STXTBLUH,2),0)))</f>
        <v>0.04</v>
      </c>
      <c r="N49" s="1"/>
      <c r="O49" s="5"/>
      <c r="P49" s="5"/>
      <c r="Q49" s="5"/>
      <c r="R49" s="1"/>
      <c r="S49" s="21"/>
      <c r="T49" s="40"/>
      <c r="U49" s="5"/>
      <c r="V49" s="1"/>
      <c r="W49" s="1"/>
      <c r="X49" s="1"/>
      <c r="Y49" s="68" t="s">
        <v>283</v>
      </c>
      <c r="Z49" s="69">
        <v>0.11</v>
      </c>
      <c r="AA49" s="1">
        <v>317</v>
      </c>
      <c r="AB49" s="70" t="s">
        <v>177</v>
      </c>
      <c r="AC49" s="1"/>
      <c r="AD49" s="90" t="s">
        <v>726</v>
      </c>
      <c r="AE49" s="92">
        <v>2.4E-2</v>
      </c>
    </row>
    <row r="50" spans="1:31">
      <c r="A50" s="58" t="s">
        <v>811</v>
      </c>
      <c r="B50" s="1"/>
      <c r="C50" s="1"/>
      <c r="D50" s="1"/>
      <c r="E50" s="1"/>
      <c r="F50" s="1"/>
      <c r="G50" s="1"/>
      <c r="H50" s="1"/>
      <c r="I50" s="2" t="s">
        <v>85</v>
      </c>
      <c r="J50" s="5">
        <f>IF(FEDM_HW="M",VLOOKUP(J34,FTXTBLM,2),IF(FEDM_HW="A",VLOOKUP(J34,FTXTBLMHW,2),IF(FEDM_HW="S",VLOOKUP(J34,FTXTBLSH,2),IF(FEDM_HW="I",VLOOKUP(J34,FTXTBLSHW,2),IF(FEDM_HW="H",VLOOKUP(J34,FTXBLH,2),IF(FEDM_HW="E",VLOOKUP(J34,FTXTBLHHW,2)))))))</f>
        <v>0</v>
      </c>
      <c r="K50" s="5"/>
      <c r="L50" s="2" t="s">
        <v>140</v>
      </c>
      <c r="M50" s="5">
        <f>IF(STM="S",VLOOKUP(M34,STXTBLS,2),IF(STM="M",VLOOKUP(M34,STXTBLM,2),IF(STM="H",VLOOKUP(M34,STXTBLUH,2),0)))</f>
        <v>0.04</v>
      </c>
      <c r="N50" s="1"/>
      <c r="O50" s="1"/>
      <c r="P50" s="1"/>
      <c r="Q50" s="1"/>
      <c r="R50" s="1"/>
      <c r="S50" s="21"/>
      <c r="T50" s="40"/>
      <c r="U50" s="5"/>
      <c r="V50" s="1"/>
      <c r="W50" s="1"/>
      <c r="X50" s="1"/>
      <c r="Y50" s="68" t="s">
        <v>284</v>
      </c>
      <c r="Z50" s="69">
        <v>0.11</v>
      </c>
      <c r="AA50" s="1">
        <v>317</v>
      </c>
      <c r="AB50" s="70" t="s">
        <v>9</v>
      </c>
      <c r="AC50" s="1"/>
      <c r="AD50" s="90" t="s">
        <v>727</v>
      </c>
      <c r="AE50" s="92">
        <v>2.4E-2</v>
      </c>
    </row>
    <row r="51" spans="1:31">
      <c r="A51" s="2" t="s">
        <v>79</v>
      </c>
      <c r="B51" s="1"/>
      <c r="C51" s="1" t="s">
        <v>6</v>
      </c>
      <c r="D51" s="1"/>
      <c r="E51" s="1"/>
      <c r="F51" s="1"/>
      <c r="G51" s="1"/>
      <c r="H51" s="1"/>
      <c r="I51" s="2" t="s">
        <v>86</v>
      </c>
      <c r="J51" s="5">
        <f>IF(FEDM_HW="M",VLOOKUP(J35,FTXTBLM,2),IF(FEDM_HW="A",VLOOKUP(J35,FTXTBLMHW,2),IF(FEDM_HW="S",VLOOKUP(J35,FTXTBLSH,2),IF(FEDM_HW="I",VLOOKUP(J35,FTXTBLSHW,2),IF(FEDM_HW="H",VLOOKUP(J35,FTXBLH,2),IF(FEDM_HW="E",VLOOKUP(J35,FTXTBLHHW,2)))))))</f>
        <v>0</v>
      </c>
      <c r="K51" s="5"/>
      <c r="L51" s="2" t="s">
        <v>141</v>
      </c>
      <c r="M51" s="5">
        <f>IF(STM="S",VLOOKUP(M35,STXTBLS,2),IF(STM="M",VLOOKUP(M35,STXTBLM,2),IF(STM="H",VLOOKUP(M35,STXTBLUH,2),0)))</f>
        <v>0.04</v>
      </c>
      <c r="N51" s="1"/>
      <c r="O51" s="55" t="s">
        <v>44</v>
      </c>
      <c r="P51" s="55"/>
      <c r="Q51" s="55"/>
      <c r="R51" s="1"/>
      <c r="S51" s="21"/>
      <c r="T51" s="40"/>
      <c r="U51" s="5"/>
      <c r="V51" s="1"/>
      <c r="W51" s="1"/>
      <c r="X51" s="1"/>
      <c r="Y51" s="68" t="s">
        <v>285</v>
      </c>
      <c r="Z51" s="69">
        <v>0.11</v>
      </c>
      <c r="AA51" s="1">
        <v>317</v>
      </c>
      <c r="AB51" s="70" t="s">
        <v>177</v>
      </c>
      <c r="AC51" s="1"/>
      <c r="AD51" s="90" t="s">
        <v>728</v>
      </c>
      <c r="AE51" s="92">
        <v>2.4E-2</v>
      </c>
    </row>
    <row r="52" spans="1:31">
      <c r="A52" s="2"/>
      <c r="B52" s="1"/>
      <c r="C52" s="1"/>
      <c r="D52" s="1"/>
      <c r="E52" s="1"/>
      <c r="F52" s="1"/>
      <c r="G52" s="1"/>
      <c r="H52" s="1"/>
      <c r="I52" s="2" t="s">
        <v>87</v>
      </c>
      <c r="J52" s="5">
        <f>IF(FEDM_HW="M",VLOOKUP(J36,FTXTBLM,2),IF(FEDM_HW="A",VLOOKUP(J36,FTXTBLMHW,2),IF(FEDM_HW="S",VLOOKUP(J36,FTXTBLSH,2),IF(FEDM_HW="I",VLOOKUP(J36,FTXTBLSHW,2),IF(FEDM_HW="H",VLOOKUP(J36,FTXBLH,2),IF(FEDM_HW="E",VLOOKUP(J36,FTXTBLHHW,2)))))))</f>
        <v>0</v>
      </c>
      <c r="K52" s="5"/>
      <c r="L52" s="2" t="s">
        <v>142</v>
      </c>
      <c r="M52" s="5">
        <f>IF(STM="S",VLOOKUP(M36,STXTBLS,2),IF(STM="M",VLOOKUP(M36,STXTBLM,2),IF(STM="H",VLOOKUP(M36,STXTBLUH,2),0)))</f>
        <v>0.04</v>
      </c>
      <c r="N52" s="1"/>
      <c r="O52" s="2" t="s">
        <v>13</v>
      </c>
      <c r="P52" s="2" t="s">
        <v>14</v>
      </c>
      <c r="Q52" s="2" t="s">
        <v>15</v>
      </c>
      <c r="R52" s="1"/>
      <c r="S52" s="21"/>
      <c r="T52" s="40"/>
      <c r="U52" s="5"/>
      <c r="V52" s="1"/>
      <c r="W52" s="1"/>
      <c r="X52" s="1"/>
      <c r="Y52" s="68" t="s">
        <v>286</v>
      </c>
      <c r="Z52" s="69">
        <v>0.06</v>
      </c>
      <c r="AA52" s="1">
        <v>317</v>
      </c>
      <c r="AB52" s="70" t="s">
        <v>9</v>
      </c>
      <c r="AC52" s="1"/>
      <c r="AD52" s="90" t="s">
        <v>729</v>
      </c>
      <c r="AE52" s="92">
        <v>2.4E-2</v>
      </c>
    </row>
    <row r="53" spans="1:31">
      <c r="A53" s="59" t="s">
        <v>468</v>
      </c>
      <c r="B53" s="1"/>
      <c r="C53" s="1"/>
      <c r="D53" s="1"/>
      <c r="E53" s="1"/>
      <c r="F53" s="1"/>
      <c r="G53" s="1"/>
      <c r="H53" s="1"/>
      <c r="I53" s="2" t="s">
        <v>88</v>
      </c>
      <c r="J53" s="5">
        <f>IF(FEDM_HW="M",VLOOKUP(J37,FTXTBLM,2),IF(FEDM_HW="A",VLOOKUP(J37,FTXTBLMHW,2),IF(FEDM_HW="S",VLOOKUP(J37,FTXTBLSH,2),IF(FEDM_HW="I",VLOOKUP(J37,FTXTBLSHW,2),IF(FEDM_HW="H",VLOOKUP(J37,FTXBLH,2),IF(FEDM_HW="E",VLOOKUP(J37,FTXTBLHHW,2)))))))</f>
        <v>0</v>
      </c>
      <c r="K53" s="1"/>
      <c r="L53" s="2" t="s">
        <v>143</v>
      </c>
      <c r="M53" s="5">
        <f>IF(STM="S",VLOOKUP(M37,STXTBLS,2),IF(STM="M",VLOOKUP(M37,STXTBLM,2),IF(STM="H",VLOOKUP(M37,STXTBLUH,2),0)))</f>
        <v>0.04</v>
      </c>
      <c r="N53" s="1"/>
      <c r="O53" s="5">
        <v>-999999</v>
      </c>
      <c r="P53" s="5">
        <v>0</v>
      </c>
      <c r="Q53" s="5">
        <v>0</v>
      </c>
      <c r="R53" s="1"/>
      <c r="S53" s="21"/>
      <c r="T53" s="40"/>
      <c r="U53" s="5"/>
      <c r="V53" s="1"/>
      <c r="W53" s="1"/>
      <c r="X53" s="1"/>
      <c r="Y53" s="68" t="s">
        <v>287</v>
      </c>
      <c r="Z53" s="69">
        <v>0.11</v>
      </c>
      <c r="AA53" s="1">
        <v>317</v>
      </c>
      <c r="AB53" s="70" t="s">
        <v>9</v>
      </c>
      <c r="AC53" s="1"/>
      <c r="AD53" s="90" t="s">
        <v>730</v>
      </c>
      <c r="AE53" s="92">
        <v>2.4E-2</v>
      </c>
    </row>
    <row r="54" spans="1:31">
      <c r="A54" s="59"/>
      <c r="B54" s="1"/>
      <c r="C54" s="1"/>
      <c r="D54" s="1"/>
      <c r="E54" s="1"/>
      <c r="F54" s="1"/>
      <c r="G54" s="1"/>
      <c r="H54" s="1"/>
      <c r="I54" s="2" t="s">
        <v>89</v>
      </c>
      <c r="J54" s="5">
        <f>IF(FEDM_HW="M",VLOOKUP(J38,FTXTBLM,2),IF(FEDM_HW="A",VLOOKUP(J38,FTXTBLMHW,2),IF(FEDM_HW="S",VLOOKUP(J38,FTXTBLSH,2),IF(FEDM_HW="I",VLOOKUP(J38,FTXTBLSHW,2),IF(FEDM_HW="H",VLOOKUP(J38,FTXBLH,2),IF(FEDM_HW="E",VLOOKUP(J38,FTXTBLHHW,2)))))))</f>
        <v>0</v>
      </c>
      <c r="K54" s="1"/>
      <c r="L54" s="2" t="s">
        <v>144</v>
      </c>
      <c r="M54" s="5">
        <f>IF(STM="S",VLOOKUP(M38,STXTBLS,2),IF(STM="M",VLOOKUP(M38,STXTBLM,2),IF(STM="H",VLOOKUP(M38,STXTBLUH,2),0)))</f>
        <v>0.04</v>
      </c>
      <c r="N54" s="1"/>
      <c r="O54" s="5">
        <v>13850</v>
      </c>
      <c r="P54" s="5">
        <v>0.1</v>
      </c>
      <c r="Q54" s="5">
        <v>0</v>
      </c>
      <c r="R54" s="1"/>
      <c r="S54" s="21"/>
      <c r="T54" s="40"/>
      <c r="U54" s="5"/>
      <c r="V54" s="1"/>
      <c r="W54" s="1"/>
      <c r="X54" s="1"/>
      <c r="Y54" s="68" t="s">
        <v>288</v>
      </c>
      <c r="Z54" s="69">
        <v>0.11</v>
      </c>
      <c r="AA54" s="1">
        <v>317</v>
      </c>
      <c r="AB54" s="70" t="s">
        <v>177</v>
      </c>
      <c r="AC54" s="1"/>
      <c r="AD54" s="90" t="s">
        <v>731</v>
      </c>
      <c r="AE54" s="92">
        <v>2.4E-2</v>
      </c>
    </row>
    <row r="55" spans="1:31">
      <c r="A55" s="59" t="s">
        <v>804</v>
      </c>
      <c r="B55" s="1"/>
      <c r="C55" s="1"/>
      <c r="D55" s="1"/>
      <c r="E55" s="1"/>
      <c r="F55" s="1"/>
      <c r="G55" s="1"/>
      <c r="H55" s="1"/>
      <c r="I55" s="1"/>
      <c r="J55" s="1"/>
      <c r="K55" s="5"/>
      <c r="L55" s="1"/>
      <c r="M55" s="1"/>
      <c r="N55" s="1"/>
      <c r="O55" s="5">
        <v>24850</v>
      </c>
      <c r="P55" s="5">
        <v>0.12</v>
      </c>
      <c r="Q55" s="5">
        <v>1100</v>
      </c>
      <c r="R55" s="1"/>
      <c r="S55" s="21"/>
      <c r="T55" s="40"/>
      <c r="U55" s="5"/>
      <c r="V55" s="1"/>
      <c r="W55" s="1"/>
      <c r="X55" s="1"/>
      <c r="Y55" s="68" t="s">
        <v>289</v>
      </c>
      <c r="Z55" s="69">
        <v>0.11</v>
      </c>
      <c r="AA55" s="1">
        <v>317</v>
      </c>
      <c r="AB55" s="70" t="s">
        <v>9</v>
      </c>
      <c r="AC55" s="1"/>
      <c r="AD55" s="90" t="s">
        <v>732</v>
      </c>
      <c r="AE55" s="92">
        <v>2.4E-2</v>
      </c>
    </row>
    <row r="56" spans="1:31">
      <c r="A56" s="2"/>
      <c r="B56" s="1"/>
      <c r="C56" s="1"/>
      <c r="D56" s="1"/>
      <c r="E56" s="1"/>
      <c r="F56" s="1"/>
      <c r="G56" s="1"/>
      <c r="H56" s="1"/>
      <c r="I56" s="55" t="s">
        <v>848</v>
      </c>
      <c r="J56" s="55"/>
      <c r="K56" s="3"/>
      <c r="L56" s="55" t="s">
        <v>848</v>
      </c>
      <c r="M56" s="55"/>
      <c r="N56" s="1"/>
      <c r="O56" s="5">
        <v>58575</v>
      </c>
      <c r="P56" s="5">
        <v>0.22</v>
      </c>
      <c r="Q56" s="5">
        <v>5147</v>
      </c>
      <c r="R56" s="1"/>
      <c r="S56" s="21"/>
      <c r="T56" s="40"/>
      <c r="U56" s="5"/>
      <c r="V56" s="1"/>
      <c r="W56" s="1"/>
      <c r="X56" s="1"/>
      <c r="Y56" s="68" t="s">
        <v>290</v>
      </c>
      <c r="Z56" s="69">
        <v>0.13500000000000001</v>
      </c>
      <c r="AA56" s="1">
        <v>317</v>
      </c>
      <c r="AB56" s="70" t="s">
        <v>177</v>
      </c>
      <c r="AC56" s="1"/>
      <c r="AD56" s="90" t="s">
        <v>733</v>
      </c>
      <c r="AE56" s="92">
        <v>2.4E-2</v>
      </c>
    </row>
    <row r="57" spans="1:31">
      <c r="A57" s="59" t="s">
        <v>812</v>
      </c>
      <c r="B57" s="1"/>
      <c r="C57" s="1"/>
      <c r="D57" s="1"/>
      <c r="E57" s="1"/>
      <c r="F57" s="1"/>
      <c r="G57" s="1"/>
      <c r="H57" s="1"/>
      <c r="I57" s="2" t="s">
        <v>90</v>
      </c>
      <c r="J57" s="5">
        <f>IF(FEDM_HW="M",VLOOKUP(_FTG1,FTXTBLM,3),IF(FEDM_HW="A",VLOOKUP(_FTG1,FTXTBLMHW,3),IF(FEDM_HW="S",VLOOKUP(_FTG1,FTXTBLSH,3),IF(FEDM_HW="I",VLOOKUP(_FTG1,FTXTBLSHW,3),IF(FEDM_HW="H",VLOOKUP(_FTG1,FTXBLH,3),IF(FEDM_HW="E",VLOOKUP(_FTG1,FTXTBLHHW,3)))))))</f>
        <v>0</v>
      </c>
      <c r="K57" s="5"/>
      <c r="L57" s="2" t="s">
        <v>145</v>
      </c>
      <c r="M57" s="5">
        <f>IF(STM="S",VLOOKUP(_STG1,STXTBLS,3),IF(STM="M",VLOOKUP(_STG1,STXTBLM,3),IF(STM="H",VLOOKUP(_STG1,STXTBLUH,3),0)))</f>
        <v>0</v>
      </c>
      <c r="N57" s="1"/>
      <c r="O57" s="5">
        <v>109225</v>
      </c>
      <c r="P57" s="5">
        <v>0.24</v>
      </c>
      <c r="Q57" s="5">
        <v>16290</v>
      </c>
      <c r="R57" s="1"/>
      <c r="S57" s="1"/>
      <c r="T57" s="1"/>
      <c r="U57" s="1"/>
      <c r="V57" s="1"/>
      <c r="W57" s="1"/>
      <c r="X57" s="1"/>
      <c r="Y57" s="68" t="s">
        <v>291</v>
      </c>
      <c r="Z57" s="69">
        <v>0.13500000000000001</v>
      </c>
      <c r="AA57" s="1">
        <v>317</v>
      </c>
      <c r="AB57" s="70" t="s">
        <v>9</v>
      </c>
      <c r="AC57" s="1"/>
      <c r="AD57" s="90" t="s">
        <v>734</v>
      </c>
      <c r="AE57" s="92">
        <v>2.3E-2</v>
      </c>
    </row>
    <row r="58" spans="1:31" ht="16.5" thickBot="1">
      <c r="A58" s="2" t="s">
        <v>813</v>
      </c>
      <c r="B58" s="1"/>
      <c r="C58" s="1"/>
      <c r="D58" s="1"/>
      <c r="E58" s="1"/>
      <c r="F58" s="1"/>
      <c r="G58" s="1"/>
      <c r="H58" s="1"/>
      <c r="I58" s="2" t="s">
        <v>91</v>
      </c>
      <c r="J58" s="5">
        <f>IF(FEDM_HW="M",VLOOKUP(J34,FTXTBLM,3),IF(FEDM_HW="A",VLOOKUP(J34,FTXTBLMHW,3),IF(FEDM_HW="S",VLOOKUP(J34,FTXTBLSH,3),IF(FEDM_HW="I",VLOOKUP(J34,FTXTBLSHW,3),IF(FEDM_HW="H",VLOOKUP(J34,FTXBLH,3),IF(FEDM_HW="E",VLOOKUP(J34,FTXTBLHHW,3)))))))</f>
        <v>0</v>
      </c>
      <c r="K58" s="5"/>
      <c r="L58" s="2" t="s">
        <v>146</v>
      </c>
      <c r="M58" s="5">
        <f>IF(STM="S",VLOOKUP(M34,STXTBLS,3),IF(STM="M",VLOOKUP(M34,STXTBLM,3),IF(STM="H",VLOOKUP(M34,STXTBLUH,3),0)))</f>
        <v>0</v>
      </c>
      <c r="N58" s="1"/>
      <c r="O58" s="5">
        <v>195950</v>
      </c>
      <c r="P58" s="5">
        <v>0.32</v>
      </c>
      <c r="Q58" s="5">
        <v>37104</v>
      </c>
      <c r="R58" s="1"/>
      <c r="S58" s="77" t="s">
        <v>852</v>
      </c>
      <c r="T58" s="78"/>
      <c r="U58" s="78"/>
      <c r="V58" s="78"/>
      <c r="W58" s="79"/>
      <c r="X58" s="1"/>
      <c r="Y58" s="68" t="s">
        <v>292</v>
      </c>
      <c r="Z58" s="69">
        <v>0.1</v>
      </c>
      <c r="AA58" s="1">
        <v>317</v>
      </c>
      <c r="AB58" s="70" t="s">
        <v>9</v>
      </c>
      <c r="AC58" s="1"/>
      <c r="AD58" s="90" t="s">
        <v>735</v>
      </c>
      <c r="AE58" s="92">
        <v>2.3E-2</v>
      </c>
    </row>
    <row r="59" spans="1:31" ht="16.5" thickTop="1">
      <c r="A59" s="1" t="s">
        <v>482</v>
      </c>
      <c r="B59" s="1"/>
      <c r="C59" s="1"/>
      <c r="D59" s="1"/>
      <c r="E59" s="1"/>
      <c r="F59" s="1"/>
      <c r="G59" s="1"/>
      <c r="H59" s="1"/>
      <c r="I59" s="2" t="s">
        <v>92</v>
      </c>
      <c r="J59" s="5">
        <f>IF(FEDM_HW="M",VLOOKUP(J35,FTXTBLM,3),IF(FEDM_HW="A",VLOOKUP(J35,FTXTBLMHW,3),IF(FEDM_HW="S",VLOOKUP(J35,FTXTBLSH,3),IF(FEDM_HW="I",VLOOKUP(J35,FTXTBLSHW,3),IF(FEDM_HW="H",VLOOKUP(J35,FTXBLH,3),IF(FEDM_HW="E",VLOOKUP(J35,FTXTBLHHW,3)))))))</f>
        <v>0</v>
      </c>
      <c r="K59" s="5"/>
      <c r="L59" s="2" t="s">
        <v>147</v>
      </c>
      <c r="M59" s="5">
        <f>IF(STM="S",VLOOKUP(M35,STXTBLS,3),IF(STM="M",VLOOKUP(M35,STXTBLM,3),IF(STM="H",VLOOKUP(M35,STXTBLUH,3),0)))</f>
        <v>0</v>
      </c>
      <c r="N59" s="1"/>
      <c r="O59" s="5">
        <v>245100</v>
      </c>
      <c r="P59" s="25">
        <v>0.35</v>
      </c>
      <c r="Q59" s="5">
        <v>52832</v>
      </c>
      <c r="R59" s="1"/>
      <c r="S59" s="80" t="s">
        <v>95</v>
      </c>
      <c r="T59" s="55" t="s">
        <v>853</v>
      </c>
      <c r="U59" s="55"/>
      <c r="V59" s="55"/>
      <c r="W59" s="81"/>
      <c r="X59" s="1"/>
      <c r="Y59" s="68" t="s">
        <v>188</v>
      </c>
      <c r="Z59" s="69">
        <v>0</v>
      </c>
      <c r="AA59" s="1">
        <v>0</v>
      </c>
      <c r="AB59" s="70" t="s">
        <v>9</v>
      </c>
      <c r="AC59" s="1"/>
      <c r="AD59" s="90" t="s">
        <v>736</v>
      </c>
      <c r="AE59" s="92">
        <v>2.4E-2</v>
      </c>
    </row>
    <row r="60" spans="1:31">
      <c r="A60" s="1" t="s">
        <v>483</v>
      </c>
      <c r="B60" s="1"/>
      <c r="C60" s="1"/>
      <c r="D60" s="1"/>
      <c r="E60" s="1"/>
      <c r="F60" s="1"/>
      <c r="G60" s="1"/>
      <c r="H60" s="1"/>
      <c r="I60" s="2" t="s">
        <v>93</v>
      </c>
      <c r="J60" s="5">
        <f>IF(FEDM_HW="M",VLOOKUP(J36,FTXTBLM,3),IF(FEDM_HW="A",VLOOKUP(J36,FTXTBLMHW,3),IF(FEDM_HW="S",VLOOKUP(J36,FTXTBLSH,3),IF(FEDM_HW="I",VLOOKUP(J36,FTXTBLSHW,3),IF(FEDM_HW="H",VLOOKUP(J36,FTXBLH,3),IF(FEDM_HW="E",VLOOKUP(J36,FTXTBLHHW,3)))))))</f>
        <v>0</v>
      </c>
      <c r="K60" s="5"/>
      <c r="L60" s="2" t="s">
        <v>148</v>
      </c>
      <c r="M60" s="5">
        <f>IF(STM="S",VLOOKUP(M36,STXTBLS,3),IF(STM="M",VLOOKUP(M36,STXTBLM,3),IF(STM="H",VLOOKUP(M36,STXTBLUH,3),0)))</f>
        <v>0</v>
      </c>
      <c r="N60" s="1"/>
      <c r="O60" s="5">
        <v>360725</v>
      </c>
      <c r="P60" s="27">
        <v>0.37</v>
      </c>
      <c r="Q60" s="5">
        <v>93300.75</v>
      </c>
      <c r="R60" s="1"/>
      <c r="S60" s="82" t="s">
        <v>97</v>
      </c>
      <c r="T60" s="83">
        <v>0</v>
      </c>
      <c r="U60" s="83">
        <v>1</v>
      </c>
      <c r="V60" s="83">
        <v>2</v>
      </c>
      <c r="W60" s="84" t="s">
        <v>98</v>
      </c>
      <c r="X60" s="1"/>
      <c r="Y60" s="68" t="s">
        <v>189</v>
      </c>
      <c r="Z60" s="69">
        <v>0</v>
      </c>
      <c r="AA60" s="1">
        <v>0</v>
      </c>
      <c r="AB60" s="70" t="s">
        <v>9</v>
      </c>
      <c r="AC60" s="1"/>
      <c r="AD60" s="90" t="s">
        <v>737</v>
      </c>
      <c r="AE60" s="92">
        <v>2.4E-2</v>
      </c>
    </row>
    <row r="61" spans="1:31">
      <c r="A61" s="1" t="s">
        <v>814</v>
      </c>
      <c r="B61" s="1"/>
      <c r="C61" s="1"/>
      <c r="D61" s="1"/>
      <c r="E61" s="1"/>
      <c r="F61" s="1"/>
      <c r="G61" s="1"/>
      <c r="H61" s="1"/>
      <c r="I61" s="2" t="s">
        <v>94</v>
      </c>
      <c r="J61" s="5">
        <f>IF(FEDM_HW="M",VLOOKUP(J37,FTXTBLM,3),IF(FEDM_HW="A",VLOOKUP(J37,FTXTBLMHW,3),IF(FEDM_HW="S",VLOOKUP(J37,FTXTBLSH,3),IF(FEDM_HW="I",VLOOKUP(J37,FTXTBLSHW,3),IF(FEDM_HW="H",VLOOKUP(J37,FTXBLH,3),IF(FEDM_HW="E",VLOOKUP(J37,FTXTBLHHW,3)))))))</f>
        <v>0</v>
      </c>
      <c r="K61" s="1"/>
      <c r="L61" s="2" t="s">
        <v>149</v>
      </c>
      <c r="M61" s="5">
        <f>IF(STM="S",VLOOKUP(M37,STXTBLS,3),IF(STM="M",VLOOKUP(M37,STXTBLM,3),IF(STM="H",VLOOKUP(M37,STXTBLUH,3),0)))</f>
        <v>0</v>
      </c>
      <c r="N61" s="1"/>
      <c r="O61" s="5"/>
      <c r="P61" s="5"/>
      <c r="Q61" s="5"/>
      <c r="R61" s="1"/>
      <c r="S61" s="85" t="s">
        <v>178</v>
      </c>
      <c r="T61" s="75">
        <v>0</v>
      </c>
      <c r="U61" s="75">
        <v>0</v>
      </c>
      <c r="V61" s="75">
        <v>0</v>
      </c>
      <c r="W61" s="86">
        <v>0</v>
      </c>
      <c r="X61" s="1"/>
      <c r="Y61" s="68" t="s">
        <v>293</v>
      </c>
      <c r="Z61" s="69">
        <v>0.06</v>
      </c>
      <c r="AA61" s="1">
        <v>317</v>
      </c>
      <c r="AB61" s="70" t="s">
        <v>9</v>
      </c>
      <c r="AC61" s="1"/>
      <c r="AD61" s="90" t="s">
        <v>738</v>
      </c>
      <c r="AE61" s="92">
        <v>2.4E-2</v>
      </c>
    </row>
    <row r="62" spans="1:31">
      <c r="A62" s="56" t="s">
        <v>815</v>
      </c>
      <c r="B62" s="1"/>
      <c r="C62" s="1"/>
      <c r="D62" s="1"/>
      <c r="E62" s="1"/>
      <c r="F62" s="1"/>
      <c r="G62" s="1"/>
      <c r="H62" s="1"/>
      <c r="I62" s="2" t="s">
        <v>96</v>
      </c>
      <c r="J62" s="5">
        <f>IF(FEDM_HW="M",VLOOKUP(J38,FTXTBLM,3),IF(FEDM_HW="A",VLOOKUP(J38,FTXTBLMHW,3),IF(FEDM_HW="S",VLOOKUP(J38,FTXTBLSH,3),IF(FEDM_HW="I",VLOOKUP(J38,FTXTBLSHW,3),IF(FEDM_HW="H",VLOOKUP(J38,FTXBLH,3),IF(FEDM_HW="E",VLOOKUP(J38,FTXTBLHHW,3)))))))</f>
        <v>0</v>
      </c>
      <c r="K62" s="1"/>
      <c r="L62" s="2" t="s">
        <v>150</v>
      </c>
      <c r="M62" s="5">
        <f>IF(STM="S",VLOOKUP(M38,STXTBLS,3),IF(STM="M",VLOOKUP(M38,STXTBLM,3),IF(STM="H",VLOOKUP(M38,STXTBLUH,3),0)))</f>
        <v>0</v>
      </c>
      <c r="N62" s="1"/>
      <c r="O62" s="55" t="s">
        <v>508</v>
      </c>
      <c r="P62" s="55"/>
      <c r="Q62" s="55"/>
      <c r="R62" s="1"/>
      <c r="S62" s="82" t="s">
        <v>854</v>
      </c>
      <c r="T62" s="83">
        <v>0</v>
      </c>
      <c r="U62" s="83">
        <v>0</v>
      </c>
      <c r="V62" s="83">
        <v>0</v>
      </c>
      <c r="W62" s="84">
        <v>0</v>
      </c>
      <c r="X62" s="2"/>
      <c r="Y62" s="68" t="s">
        <v>342</v>
      </c>
      <c r="Z62" s="69">
        <v>0.08</v>
      </c>
      <c r="AA62" s="1">
        <v>513</v>
      </c>
      <c r="AB62" s="70" t="s">
        <v>11</v>
      </c>
      <c r="AC62" s="1"/>
      <c r="AD62" s="90" t="s">
        <v>739</v>
      </c>
      <c r="AE62" s="92">
        <v>0.03</v>
      </c>
    </row>
    <row r="63" spans="1:31">
      <c r="A63" s="1" t="s">
        <v>484</v>
      </c>
      <c r="B63" s="1"/>
      <c r="C63" s="1"/>
      <c r="D63" s="1"/>
      <c r="E63" s="1"/>
      <c r="F63" s="1"/>
      <c r="G63" s="1"/>
      <c r="H63" s="1"/>
      <c r="I63" s="1"/>
      <c r="J63" s="1"/>
      <c r="K63" s="5"/>
      <c r="L63" s="1"/>
      <c r="M63" s="1"/>
      <c r="N63" s="1"/>
      <c r="O63" s="2" t="s">
        <v>13</v>
      </c>
      <c r="P63" s="2" t="s">
        <v>14</v>
      </c>
      <c r="Q63" s="2" t="s">
        <v>15</v>
      </c>
      <c r="R63" s="1"/>
      <c r="S63" s="1"/>
      <c r="T63" s="1"/>
      <c r="U63" s="1"/>
      <c r="V63" s="1"/>
      <c r="W63" s="1"/>
      <c r="X63" s="2"/>
      <c r="Y63" s="68" t="s">
        <v>343</v>
      </c>
      <c r="Z63" s="69">
        <v>0.125</v>
      </c>
      <c r="AA63" s="1">
        <v>513</v>
      </c>
      <c r="AB63" s="70" t="s">
        <v>11</v>
      </c>
      <c r="AC63" s="1"/>
      <c r="AD63" s="90" t="s">
        <v>740</v>
      </c>
      <c r="AE63" s="93">
        <v>1.4E-2</v>
      </c>
    </row>
    <row r="64" spans="1:31">
      <c r="A64" s="1" t="s">
        <v>485</v>
      </c>
      <c r="B64" s="1"/>
      <c r="C64" s="2"/>
      <c r="D64" s="1"/>
      <c r="E64" s="1"/>
      <c r="F64" s="1"/>
      <c r="G64" s="1"/>
      <c r="H64" s="1"/>
      <c r="I64" s="55" t="s">
        <v>849</v>
      </c>
      <c r="J64" s="55"/>
      <c r="K64" s="3"/>
      <c r="L64" s="55" t="s">
        <v>849</v>
      </c>
      <c r="M64" s="55"/>
      <c r="N64" s="1"/>
      <c r="O64" s="5">
        <v>-999999</v>
      </c>
      <c r="P64" s="5">
        <v>0</v>
      </c>
      <c r="Q64" s="5">
        <v>0</v>
      </c>
      <c r="R64" s="1"/>
      <c r="S64" s="1"/>
      <c r="T64" s="1"/>
      <c r="U64" s="1"/>
      <c r="V64" s="1"/>
      <c r="W64" s="1"/>
      <c r="X64" s="1"/>
      <c r="Y64" s="68" t="s">
        <v>344</v>
      </c>
      <c r="Z64" s="69">
        <v>0.08</v>
      </c>
      <c r="AA64" s="1">
        <v>513</v>
      </c>
      <c r="AB64" s="70" t="s">
        <v>11</v>
      </c>
      <c r="AC64" s="1"/>
      <c r="AD64" s="90" t="s">
        <v>741</v>
      </c>
      <c r="AE64" s="92">
        <v>0.03</v>
      </c>
    </row>
    <row r="65" spans="1:31">
      <c r="A65" s="1" t="s">
        <v>486</v>
      </c>
      <c r="B65" s="1"/>
      <c r="C65" s="1"/>
      <c r="D65" s="1"/>
      <c r="E65" s="1"/>
      <c r="F65" s="1"/>
      <c r="G65" s="1"/>
      <c r="H65" s="1"/>
      <c r="I65" s="2" t="s">
        <v>99</v>
      </c>
      <c r="J65" s="5">
        <f>(_FTG1-FBSA1)</f>
        <v>999999</v>
      </c>
      <c r="K65" s="5"/>
      <c r="L65" s="2" t="s">
        <v>151</v>
      </c>
      <c r="M65" s="5">
        <f>(_STG1-SBSA1)</f>
        <v>0</v>
      </c>
      <c r="N65" s="1"/>
      <c r="O65" s="5">
        <v>10400</v>
      </c>
      <c r="P65" s="5">
        <v>0.1</v>
      </c>
      <c r="Q65" s="5">
        <v>0</v>
      </c>
      <c r="R65" s="1"/>
      <c r="S65" s="1"/>
      <c r="T65" s="1"/>
      <c r="U65" s="1"/>
      <c r="V65" s="1"/>
      <c r="W65" s="1"/>
      <c r="X65" s="1"/>
      <c r="Y65" s="68" t="s">
        <v>294</v>
      </c>
      <c r="Z65" s="69">
        <v>0.11</v>
      </c>
      <c r="AA65" s="1">
        <v>317</v>
      </c>
      <c r="AB65" s="70" t="s">
        <v>177</v>
      </c>
      <c r="AC65" s="1"/>
      <c r="AD65" s="90" t="s">
        <v>742</v>
      </c>
      <c r="AE65" s="92">
        <v>0.03</v>
      </c>
    </row>
    <row r="66" spans="1:31">
      <c r="A66" s="1"/>
      <c r="B66" s="1"/>
      <c r="C66" s="1"/>
      <c r="D66" s="1"/>
      <c r="E66" s="1"/>
      <c r="F66" s="1"/>
      <c r="G66" s="1"/>
      <c r="H66" s="1"/>
      <c r="I66" s="2" t="s">
        <v>100</v>
      </c>
      <c r="J66" s="5">
        <f>(J34-J42)</f>
        <v>998799</v>
      </c>
      <c r="K66" s="5"/>
      <c r="L66" s="2" t="s">
        <v>152</v>
      </c>
      <c r="M66" s="5">
        <f>(M34-M42)</f>
        <v>0</v>
      </c>
      <c r="N66" s="1"/>
      <c r="O66" s="5">
        <v>18250</v>
      </c>
      <c r="P66" s="5">
        <v>0.12</v>
      </c>
      <c r="Q66" s="5">
        <v>785</v>
      </c>
      <c r="R66" s="1"/>
      <c r="S66" s="1"/>
      <c r="T66" s="1"/>
      <c r="U66" s="1"/>
      <c r="V66" s="1"/>
      <c r="W66" s="1"/>
      <c r="X66" s="1"/>
      <c r="Y66" s="68" t="s">
        <v>295</v>
      </c>
      <c r="Z66" s="69">
        <v>0.11</v>
      </c>
      <c r="AA66" s="1">
        <v>317</v>
      </c>
      <c r="AB66" s="70" t="s">
        <v>9</v>
      </c>
      <c r="AC66" s="1"/>
      <c r="AD66" s="90" t="s">
        <v>743</v>
      </c>
      <c r="AE66" s="93">
        <v>2.5999999999999999E-2</v>
      </c>
    </row>
    <row r="67" spans="1:31">
      <c r="A67" s="58" t="s">
        <v>816</v>
      </c>
      <c r="B67" s="1"/>
      <c r="C67" s="1"/>
      <c r="D67" s="1"/>
      <c r="E67" s="1"/>
      <c r="F67" s="1"/>
      <c r="G67" s="1"/>
      <c r="H67" s="1"/>
      <c r="I67" s="2" t="s">
        <v>101</v>
      </c>
      <c r="J67" s="5">
        <f>(J35-J43)</f>
        <v>997599</v>
      </c>
      <c r="K67" s="5"/>
      <c r="L67" s="2" t="s">
        <v>153</v>
      </c>
      <c r="M67" s="5">
        <f>(M35-M43)</f>
        <v>0</v>
      </c>
      <c r="N67" s="1"/>
      <c r="O67" s="5">
        <v>40325</v>
      </c>
      <c r="P67" s="5">
        <v>0.22</v>
      </c>
      <c r="Q67" s="5">
        <v>3434</v>
      </c>
      <c r="R67" s="1"/>
      <c r="S67" s="1"/>
      <c r="T67" s="1"/>
      <c r="U67" s="1"/>
      <c r="V67" s="1"/>
      <c r="W67" s="1"/>
      <c r="X67" s="1"/>
      <c r="Y67" s="68" t="s">
        <v>345</v>
      </c>
      <c r="Z67" s="69">
        <v>0.1</v>
      </c>
      <c r="AA67" s="1">
        <v>513</v>
      </c>
      <c r="AB67" s="70" t="s">
        <v>11</v>
      </c>
      <c r="AC67" s="1"/>
      <c r="AD67" s="90" t="s">
        <v>744</v>
      </c>
      <c r="AE67" s="92">
        <v>0.04</v>
      </c>
    </row>
    <row r="68" spans="1:31">
      <c r="A68" s="1"/>
      <c r="B68" s="1"/>
      <c r="C68" s="1"/>
      <c r="D68" s="1"/>
      <c r="E68" s="1"/>
      <c r="F68" s="1"/>
      <c r="G68" s="1"/>
      <c r="H68" s="1"/>
      <c r="I68" s="2" t="s">
        <v>102</v>
      </c>
      <c r="J68" s="5">
        <f>(J36-J44)</f>
        <v>996399</v>
      </c>
      <c r="K68" s="5"/>
      <c r="L68" s="2" t="s">
        <v>154</v>
      </c>
      <c r="M68" s="5">
        <f>(M36-M44)</f>
        <v>0</v>
      </c>
      <c r="N68" s="1"/>
      <c r="O68" s="5">
        <v>58075</v>
      </c>
      <c r="P68" s="5">
        <v>0.24</v>
      </c>
      <c r="Q68" s="5">
        <v>7339</v>
      </c>
      <c r="R68" s="1"/>
      <c r="S68" s="1"/>
      <c r="T68" s="1"/>
      <c r="U68" s="1"/>
      <c r="V68" s="1"/>
      <c r="W68" s="1"/>
      <c r="X68" s="1"/>
      <c r="Y68" s="68" t="s">
        <v>346</v>
      </c>
      <c r="Z68" s="69">
        <v>0.1</v>
      </c>
      <c r="AA68" s="1">
        <v>513</v>
      </c>
      <c r="AB68" s="70" t="s">
        <v>11</v>
      </c>
      <c r="AC68" s="1"/>
      <c r="AD68" s="90" t="s">
        <v>745</v>
      </c>
      <c r="AE68" s="92">
        <v>0.04</v>
      </c>
    </row>
    <row r="69" spans="1:31">
      <c r="A69" s="58" t="s">
        <v>817</v>
      </c>
      <c r="B69" s="1"/>
      <c r="C69" s="1"/>
      <c r="D69" s="1"/>
      <c r="E69" s="1"/>
      <c r="F69" s="1"/>
      <c r="G69" s="1"/>
      <c r="H69" s="1"/>
      <c r="I69" s="2" t="s">
        <v>103</v>
      </c>
      <c r="J69" s="5">
        <f>(J37-J45)</f>
        <v>995199</v>
      </c>
      <c r="K69" s="1"/>
      <c r="L69" s="2" t="s">
        <v>155</v>
      </c>
      <c r="M69" s="5">
        <f>(M37-M45)</f>
        <v>0</v>
      </c>
      <c r="N69" s="1"/>
      <c r="O69" s="5">
        <v>101450</v>
      </c>
      <c r="P69" s="25">
        <v>0.32</v>
      </c>
      <c r="Q69" s="5">
        <v>17749</v>
      </c>
      <c r="R69" s="1"/>
      <c r="S69" s="1"/>
      <c r="T69" s="1"/>
      <c r="U69" s="1"/>
      <c r="V69" s="1"/>
      <c r="W69" s="1"/>
      <c r="X69" s="1"/>
      <c r="Y69" s="68" t="s">
        <v>347</v>
      </c>
      <c r="Z69" s="69">
        <v>0.1</v>
      </c>
      <c r="AA69" s="1">
        <v>513</v>
      </c>
      <c r="AB69" s="70" t="s">
        <v>11</v>
      </c>
      <c r="AC69" s="1"/>
      <c r="AD69" s="90" t="s">
        <v>746</v>
      </c>
      <c r="AE69" s="92">
        <v>3.4000000000000002E-2</v>
      </c>
    </row>
    <row r="70" spans="1:31">
      <c r="A70" s="1"/>
      <c r="B70" s="1"/>
      <c r="C70" s="1"/>
      <c r="D70" s="1"/>
      <c r="E70" s="1"/>
      <c r="F70" s="1"/>
      <c r="G70" s="1"/>
      <c r="H70" s="1"/>
      <c r="I70" s="2" t="s">
        <v>104</v>
      </c>
      <c r="J70" s="5">
        <f>(J38-J46)</f>
        <v>993999</v>
      </c>
      <c r="K70" s="1"/>
      <c r="L70" s="2" t="s">
        <v>156</v>
      </c>
      <c r="M70" s="5">
        <f>(M38-M46)</f>
        <v>0</v>
      </c>
      <c r="N70" s="1"/>
      <c r="O70" s="5">
        <v>126025</v>
      </c>
      <c r="P70" s="25">
        <v>0.35</v>
      </c>
      <c r="Q70" s="5">
        <v>25613</v>
      </c>
      <c r="R70" s="1"/>
      <c r="S70" s="1"/>
      <c r="T70" s="1"/>
      <c r="U70" s="1"/>
      <c r="V70" s="1"/>
      <c r="W70" s="1"/>
      <c r="X70" s="1"/>
      <c r="Y70" s="68" t="s">
        <v>348</v>
      </c>
      <c r="Z70" s="69">
        <v>0.1</v>
      </c>
      <c r="AA70" s="1">
        <v>513</v>
      </c>
      <c r="AB70" s="70" t="s">
        <v>11</v>
      </c>
      <c r="AC70" s="1"/>
      <c r="AD70" s="90" t="s">
        <v>747</v>
      </c>
      <c r="AE70" s="92">
        <v>0.02</v>
      </c>
    </row>
    <row r="71" spans="1:31">
      <c r="A71" s="58" t="s">
        <v>818</v>
      </c>
      <c r="B71" s="1"/>
      <c r="C71" s="1"/>
      <c r="D71" s="1"/>
      <c r="E71" s="1"/>
      <c r="F71" s="1"/>
      <c r="G71" s="1"/>
      <c r="H71" s="1"/>
      <c r="I71" s="1"/>
      <c r="J71" s="1"/>
      <c r="K71" s="5"/>
      <c r="L71" s="1"/>
      <c r="M71" s="1"/>
      <c r="N71" s="1"/>
      <c r="O71" s="5">
        <v>299450</v>
      </c>
      <c r="P71" s="27">
        <v>0.37</v>
      </c>
      <c r="Q71" s="5">
        <v>86311.75</v>
      </c>
      <c r="R71" s="1"/>
      <c r="S71" s="1"/>
      <c r="T71" s="1"/>
      <c r="U71" s="1"/>
      <c r="V71" s="1"/>
      <c r="W71" s="1"/>
      <c r="X71" s="1"/>
      <c r="Y71" s="68" t="s">
        <v>349</v>
      </c>
      <c r="Z71" s="69">
        <v>0.1</v>
      </c>
      <c r="AA71" s="1">
        <v>513</v>
      </c>
      <c r="AB71" s="70" t="s">
        <v>11</v>
      </c>
      <c r="AC71" s="1"/>
      <c r="AD71" s="90" t="s">
        <v>748</v>
      </c>
      <c r="AE71" s="92">
        <v>2.1000000000000001E-2</v>
      </c>
    </row>
    <row r="72" spans="1:31">
      <c r="A72" s="1"/>
      <c r="B72" s="1"/>
      <c r="C72" s="1"/>
      <c r="D72" s="1"/>
      <c r="E72" s="1"/>
      <c r="F72" s="1"/>
      <c r="G72" s="1"/>
      <c r="H72" s="1"/>
      <c r="I72" s="55" t="s">
        <v>850</v>
      </c>
      <c r="J72" s="55"/>
      <c r="K72" s="3"/>
      <c r="L72" s="55" t="s">
        <v>850</v>
      </c>
      <c r="M72" s="5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68" t="s">
        <v>350</v>
      </c>
      <c r="Z72" s="69">
        <v>0.1</v>
      </c>
      <c r="AA72" s="1">
        <v>513</v>
      </c>
      <c r="AB72" s="70" t="s">
        <v>11</v>
      </c>
      <c r="AC72" s="1"/>
      <c r="AD72" s="90" t="s">
        <v>749</v>
      </c>
      <c r="AE72" s="92">
        <v>0.03</v>
      </c>
    </row>
    <row r="73" spans="1:31">
      <c r="A73" s="58" t="s">
        <v>819</v>
      </c>
      <c r="B73" s="1"/>
      <c r="C73" s="1"/>
      <c r="D73" s="1"/>
      <c r="E73" s="1"/>
      <c r="F73" s="1"/>
      <c r="G73" s="1"/>
      <c r="H73" s="1"/>
      <c r="I73" s="2" t="s">
        <v>106</v>
      </c>
      <c r="J73" s="5">
        <f>IF(FedHW="",(FBST1+ROUND(FOVR1*FMTR1,5)),(FBST1+ROUND((FOVR1*FMTR1)-Fed_Claim_Dpnts,5)))</f>
        <v>0</v>
      </c>
      <c r="K73" s="5"/>
      <c r="L73" s="2" t="s">
        <v>157</v>
      </c>
      <c r="M73" s="5">
        <f>(SBST1+ROUND(SOVR1*SMTR1,5))</f>
        <v>0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68" t="s">
        <v>351</v>
      </c>
      <c r="Z73" s="69">
        <v>0.08</v>
      </c>
      <c r="AA73" s="1">
        <v>513</v>
      </c>
      <c r="AB73" s="70" t="s">
        <v>11</v>
      </c>
      <c r="AC73" s="1"/>
      <c r="AD73" s="90" t="s">
        <v>750</v>
      </c>
      <c r="AE73" s="93">
        <v>3.5999999999999997E-2</v>
      </c>
    </row>
    <row r="74" spans="1:31">
      <c r="A74" s="1" t="s">
        <v>521</v>
      </c>
      <c r="B74" s="1"/>
      <c r="C74" s="1"/>
      <c r="D74" s="1"/>
      <c r="E74" s="1"/>
      <c r="F74" s="1"/>
      <c r="G74" s="1"/>
      <c r="H74" s="1"/>
      <c r="I74" s="2" t="s">
        <v>107</v>
      </c>
      <c r="J74" s="5">
        <f>IF(FedHW="",(J58+ROUND(J66*FMTR2,5)),(J58+ROUND((J66*FMTR2)-Fed_Claim_Dpnts,5)))</f>
        <v>0</v>
      </c>
      <c r="K74" s="5"/>
      <c r="L74" s="2" t="s">
        <v>158</v>
      </c>
      <c r="M74" s="5">
        <f>(M58+ROUND(M66*SMTR2,5))</f>
        <v>0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68" t="s">
        <v>352</v>
      </c>
      <c r="Z74" s="69">
        <v>0.1</v>
      </c>
      <c r="AA74" s="1">
        <v>513</v>
      </c>
      <c r="AB74" s="70" t="s">
        <v>11</v>
      </c>
      <c r="AC74" s="1"/>
      <c r="AD74" s="90" t="s">
        <v>751</v>
      </c>
      <c r="AE74" s="93">
        <v>0.03</v>
      </c>
    </row>
    <row r="75" spans="1:31">
      <c r="A75" s="1"/>
      <c r="B75" s="1"/>
      <c r="C75" s="1"/>
      <c r="D75" s="1"/>
      <c r="E75" s="1"/>
      <c r="F75" s="1"/>
      <c r="G75" s="1"/>
      <c r="H75" s="1"/>
      <c r="I75" s="2" t="s">
        <v>108</v>
      </c>
      <c r="J75" s="5">
        <f>IF(FedHW="",(J59+ROUND(J67*FMTR3,5)),(J59+ROUND((J67*FMTR3)-Fed_Claim_Dpnts,5)))</f>
        <v>0</v>
      </c>
      <c r="K75" s="5"/>
      <c r="L75" s="2" t="s">
        <v>159</v>
      </c>
      <c r="M75" s="5">
        <f>(M59+ROUND(M67*SMTR3,5))</f>
        <v>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68" t="s">
        <v>296</v>
      </c>
      <c r="Z75" s="69">
        <v>0.09</v>
      </c>
      <c r="AA75" s="1">
        <v>317</v>
      </c>
      <c r="AB75" s="70" t="s">
        <v>177</v>
      </c>
      <c r="AC75" s="1"/>
      <c r="AD75" s="90" t="s">
        <v>752</v>
      </c>
      <c r="AE75" s="92">
        <v>0.03</v>
      </c>
    </row>
    <row r="76" spans="1:31">
      <c r="A76" s="58" t="s">
        <v>820</v>
      </c>
      <c r="B76" s="1"/>
      <c r="C76" s="1"/>
      <c r="D76" s="1"/>
      <c r="E76" s="1"/>
      <c r="F76" s="1"/>
      <c r="G76" s="1"/>
      <c r="H76" s="1"/>
      <c r="I76" s="2" t="s">
        <v>109</v>
      </c>
      <c r="J76" s="5">
        <f>IF(FedHW="",(J60+ROUND(J68*FMTR4,5)),(J60+ROUND((J68*FMTR4)-Fed_Claim_Dpnts,5)))</f>
        <v>0</v>
      </c>
      <c r="K76" s="5"/>
      <c r="L76" s="2" t="s">
        <v>160</v>
      </c>
      <c r="M76" s="5">
        <f>(M60+ROUND(M68*SMTR4,5))</f>
        <v>0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68" t="s">
        <v>353</v>
      </c>
      <c r="Z76" s="69">
        <v>0.1</v>
      </c>
      <c r="AA76" s="1">
        <v>513</v>
      </c>
      <c r="AB76" s="70" t="s">
        <v>11</v>
      </c>
      <c r="AC76" s="1"/>
      <c r="AD76" s="90" t="s">
        <v>753</v>
      </c>
      <c r="AE76" s="92">
        <v>0.03</v>
      </c>
    </row>
    <row r="77" spans="1:31">
      <c r="A77" s="1" t="s">
        <v>521</v>
      </c>
      <c r="B77" s="1"/>
      <c r="C77" s="1"/>
      <c r="D77" s="1"/>
      <c r="E77" s="1"/>
      <c r="F77" s="1"/>
      <c r="G77" s="1"/>
      <c r="H77" s="1"/>
      <c r="I77" s="2" t="s">
        <v>110</v>
      </c>
      <c r="J77" s="5">
        <f>IF(FedHW="",(J61+ROUND(J69*FMTR5,5)),(J61+ROUND((J69*FMTR5)-Fed_Claim_Dpnts,5)))</f>
        <v>0</v>
      </c>
      <c r="K77" s="1"/>
      <c r="L77" s="2" t="s">
        <v>161</v>
      </c>
      <c r="M77" s="5">
        <f>(M61+ROUND(M69*SMTR5,5))</f>
        <v>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68" t="s">
        <v>354</v>
      </c>
      <c r="Z77" s="69">
        <v>0.08</v>
      </c>
      <c r="AA77" s="1">
        <v>513</v>
      </c>
      <c r="AB77" s="70" t="s">
        <v>11</v>
      </c>
      <c r="AC77" s="1"/>
      <c r="AD77" s="90" t="s">
        <v>754</v>
      </c>
      <c r="AE77" s="92">
        <v>1.4E-2</v>
      </c>
    </row>
    <row r="78" spans="1:31">
      <c r="A78" s="1"/>
      <c r="B78" s="1"/>
      <c r="C78" s="1"/>
      <c r="D78" s="1"/>
      <c r="E78" s="1"/>
      <c r="F78" s="1"/>
      <c r="G78" s="1"/>
      <c r="H78" s="1"/>
      <c r="I78" s="2" t="s">
        <v>111</v>
      </c>
      <c r="J78" s="5">
        <f>IF(FedHW="",(J62+ROUND(J70*FMTR6,5)),(J62+ROUND((J70*FMTR6)-Fed_Claim_Dpnts,5)))</f>
        <v>0</v>
      </c>
      <c r="K78" s="1"/>
      <c r="L78" s="2" t="s">
        <v>162</v>
      </c>
      <c r="M78" s="5">
        <f>(M62+ROUND(M70*SMTR6,5))</f>
        <v>0</v>
      </c>
      <c r="N78" s="1"/>
      <c r="O78" s="1"/>
      <c r="P78" s="2"/>
      <c r="Q78" s="15"/>
      <c r="R78" s="1"/>
      <c r="S78" s="1"/>
      <c r="T78" s="1"/>
      <c r="U78" s="1"/>
      <c r="V78" s="1"/>
      <c r="W78" s="1"/>
      <c r="X78" s="1"/>
      <c r="Y78" s="68" t="s">
        <v>355</v>
      </c>
      <c r="Z78" s="69">
        <v>0.08</v>
      </c>
      <c r="AA78" s="1">
        <v>0</v>
      </c>
      <c r="AB78" s="70" t="s">
        <v>11</v>
      </c>
      <c r="AC78" s="1"/>
      <c r="AD78" s="90" t="s">
        <v>755</v>
      </c>
      <c r="AE78" s="92">
        <v>0.03</v>
      </c>
    </row>
    <row r="79" spans="1:31">
      <c r="A79" s="58" t="s">
        <v>821</v>
      </c>
      <c r="B79" s="1"/>
      <c r="C79" s="1"/>
      <c r="D79" s="1"/>
      <c r="E79" s="1"/>
      <c r="F79" s="1"/>
      <c r="G79" s="1"/>
      <c r="H79" s="1"/>
      <c r="I79" s="1"/>
      <c r="J79" s="1"/>
      <c r="K79" s="5"/>
      <c r="L79" s="1"/>
      <c r="M79" s="1"/>
      <c r="R79" s="1"/>
      <c r="S79" s="1"/>
      <c r="T79" s="1"/>
      <c r="U79" s="1"/>
      <c r="V79" s="1"/>
      <c r="W79" s="1"/>
      <c r="X79" s="1"/>
      <c r="Y79" s="68" t="s">
        <v>356</v>
      </c>
      <c r="Z79" s="69">
        <v>0.125</v>
      </c>
      <c r="AA79" s="1">
        <v>513</v>
      </c>
      <c r="AB79" s="70" t="s">
        <v>11</v>
      </c>
      <c r="AC79" s="1"/>
      <c r="AD79" s="90" t="s">
        <v>756</v>
      </c>
      <c r="AE79" s="92">
        <v>0.04</v>
      </c>
    </row>
    <row r="80" spans="1:31">
      <c r="A80" s="1" t="s">
        <v>521</v>
      </c>
      <c r="B80" s="1"/>
      <c r="C80" s="1"/>
      <c r="D80" s="1"/>
      <c r="E80" s="1"/>
      <c r="F80" s="1"/>
      <c r="G80" s="1"/>
      <c r="H80" s="1"/>
      <c r="I80" s="55" t="s">
        <v>851</v>
      </c>
      <c r="J80" s="55"/>
      <c r="K80" s="3"/>
      <c r="L80" s="55" t="s">
        <v>851</v>
      </c>
      <c r="M80" s="55"/>
      <c r="R80" s="1"/>
      <c r="S80" s="1"/>
      <c r="T80" s="1"/>
      <c r="U80" s="1"/>
      <c r="V80" s="1"/>
      <c r="W80" s="1"/>
      <c r="X80" s="1"/>
      <c r="Y80" s="68" t="s">
        <v>357</v>
      </c>
      <c r="Z80" s="69">
        <v>0.08</v>
      </c>
      <c r="AA80" s="1">
        <v>513</v>
      </c>
      <c r="AB80" s="70" t="s">
        <v>11</v>
      </c>
      <c r="AC80" s="1"/>
      <c r="AD80" s="90" t="s">
        <v>757</v>
      </c>
      <c r="AE80" s="92">
        <v>0.03</v>
      </c>
    </row>
    <row r="81" spans="1:31">
      <c r="A81" s="1"/>
      <c r="B81" s="1"/>
      <c r="C81" s="1"/>
      <c r="D81" s="1"/>
      <c r="E81" s="1"/>
      <c r="F81" s="1"/>
      <c r="G81" s="1"/>
      <c r="H81" s="1"/>
      <c r="I81" s="2" t="s">
        <v>113</v>
      </c>
      <c r="J81" s="5">
        <f t="shared" ref="J81:J86" si="7">IF(FEDM="E",0,IF(K81&lt;0,0,K81))</f>
        <v>0</v>
      </c>
      <c r="K81" s="41">
        <f>IF(FEDM="E",0,(ROUND(_FTA1/PAYFACT,2)))</f>
        <v>0</v>
      </c>
      <c r="L81" s="2" t="s">
        <v>163</v>
      </c>
      <c r="M81" s="5">
        <f>IF(_STA1-TXCREDIT/PAYFACT&gt;0,ROUND((_STA1-TXCREDIT)/PAYFACT,2),(0))</f>
        <v>0</v>
      </c>
      <c r="R81" s="1"/>
      <c r="S81" s="1"/>
      <c r="T81" s="1"/>
      <c r="U81" s="1"/>
      <c r="V81" s="1"/>
      <c r="W81" s="1"/>
      <c r="X81" s="1"/>
      <c r="Y81" s="68" t="s">
        <v>297</v>
      </c>
      <c r="Z81" s="69">
        <v>0.1</v>
      </c>
      <c r="AA81" s="1">
        <v>317</v>
      </c>
      <c r="AB81" s="70" t="s">
        <v>177</v>
      </c>
      <c r="AC81" s="1"/>
      <c r="AD81" s="90" t="s">
        <v>758</v>
      </c>
      <c r="AE81" s="92">
        <v>0.03</v>
      </c>
    </row>
    <row r="82" spans="1:31">
      <c r="A82" s="58" t="s">
        <v>822</v>
      </c>
      <c r="B82" s="1"/>
      <c r="C82" s="1"/>
      <c r="D82" s="1"/>
      <c r="E82" s="1"/>
      <c r="F82" s="1"/>
      <c r="G82" s="1"/>
      <c r="H82" s="1"/>
      <c r="I82" s="2" t="s">
        <v>114</v>
      </c>
      <c r="J82" s="5">
        <f t="shared" si="7"/>
        <v>0</v>
      </c>
      <c r="K82" s="41">
        <f>IF(FEDM="E",0,(ROUND(J74/PAYFACT,2)))</f>
        <v>0</v>
      </c>
      <c r="L82" s="2" t="s">
        <v>164</v>
      </c>
      <c r="M82" s="5">
        <f>IF(OR(_TG2*PAYFACT&lt;=LIE,(M74-TXCREDIT)/PAYFACT&lt;=0),0,IF(M74-TXCREDIT/PAYFACT&gt;0,ROUND((M74-TXCREDIT)/PAYFACT,2)))</f>
        <v>0</v>
      </c>
      <c r="R82" s="1"/>
      <c r="S82" s="1"/>
      <c r="T82" s="1"/>
      <c r="U82" s="1"/>
      <c r="V82" s="1"/>
      <c r="W82" s="1"/>
      <c r="X82" s="1"/>
      <c r="Y82" s="68" t="s">
        <v>358</v>
      </c>
      <c r="Z82" s="69">
        <v>0.08</v>
      </c>
      <c r="AA82" s="1">
        <v>513</v>
      </c>
      <c r="AB82" s="70" t="s">
        <v>11</v>
      </c>
      <c r="AC82" s="1"/>
      <c r="AD82" s="90" t="s">
        <v>759</v>
      </c>
      <c r="AE82" s="92">
        <v>0.03</v>
      </c>
    </row>
    <row r="83" spans="1:31">
      <c r="A83" s="1" t="s">
        <v>521</v>
      </c>
      <c r="B83" s="1"/>
      <c r="C83" s="1"/>
      <c r="D83" s="1"/>
      <c r="E83" s="1"/>
      <c r="F83" s="1"/>
      <c r="G83" s="1"/>
      <c r="H83" s="1"/>
      <c r="I83" s="2" t="s">
        <v>115</v>
      </c>
      <c r="J83" s="5">
        <f t="shared" si="7"/>
        <v>0</v>
      </c>
      <c r="K83" s="41">
        <f>IF(FEDM="E",0,(ROUND(J75/PAYFACT,2)))</f>
        <v>0</v>
      </c>
      <c r="L83" s="2" t="s">
        <v>165</v>
      </c>
      <c r="M83" s="5">
        <f>IF(OR(_TG3*PAYFACT&lt;=LIE,(M75-TXCREDIT)/PAYFACT&lt;=0),0,IF(M75-TXCREDIT/PAYFACT&gt;0,ROUND((M75-TXCREDIT)/PAYFACT,2)))</f>
        <v>0</v>
      </c>
      <c r="R83" s="1"/>
      <c r="S83" s="1"/>
      <c r="T83" s="1"/>
      <c r="U83" s="1"/>
      <c r="V83" s="1"/>
      <c r="W83" s="1"/>
      <c r="X83" s="1"/>
      <c r="Y83" s="68" t="s">
        <v>298</v>
      </c>
      <c r="Z83" s="69">
        <v>0.09</v>
      </c>
      <c r="AA83" s="1">
        <v>317</v>
      </c>
      <c r="AB83" s="70" t="s">
        <v>177</v>
      </c>
      <c r="AC83" s="1"/>
      <c r="AD83" s="90" t="s">
        <v>760</v>
      </c>
      <c r="AE83" s="92">
        <v>0</v>
      </c>
    </row>
    <row r="84" spans="1:31">
      <c r="A84" s="1"/>
      <c r="B84" s="1"/>
      <c r="C84" s="1"/>
      <c r="D84" s="1"/>
      <c r="E84" s="1"/>
      <c r="F84" s="1"/>
      <c r="G84" s="1"/>
      <c r="H84" s="1"/>
      <c r="I84" s="2" t="s">
        <v>116</v>
      </c>
      <c r="J84" s="5">
        <f t="shared" si="7"/>
        <v>0</v>
      </c>
      <c r="K84" s="41">
        <f>IF(FEDM="E",0,(ROUND(J76/PAYFACT,2)))</f>
        <v>0</v>
      </c>
      <c r="L84" s="2" t="s">
        <v>166</v>
      </c>
      <c r="M84" s="5">
        <f>IF(OR(_TG4*PAYFACT&lt;=LIE,(M76-TXCREDIT)/PAYFACT&lt;=0),0,IF(M76-TXCREDIT/PAYFACT&gt;0,ROUND((M76-TXCREDIT)/PAYFACT,2)))</f>
        <v>0</v>
      </c>
      <c r="R84" s="1"/>
      <c r="S84" s="1"/>
      <c r="T84" s="1"/>
      <c r="U84" s="1"/>
      <c r="V84" s="1"/>
      <c r="W84" s="1"/>
      <c r="X84" s="1"/>
      <c r="Y84" s="68" t="s">
        <v>299</v>
      </c>
      <c r="Z84" s="69">
        <v>0.09</v>
      </c>
      <c r="AA84" s="1">
        <v>317</v>
      </c>
      <c r="AB84" s="70" t="s">
        <v>9</v>
      </c>
      <c r="AC84" s="1"/>
      <c r="AD84" s="90" t="s">
        <v>761</v>
      </c>
      <c r="AE84" s="92">
        <v>0.03</v>
      </c>
    </row>
    <row r="85" spans="1:31">
      <c r="A85" s="58" t="s">
        <v>823</v>
      </c>
      <c r="B85" s="1"/>
      <c r="C85" s="1"/>
      <c r="D85" s="1"/>
      <c r="E85" s="1"/>
      <c r="F85" s="1"/>
      <c r="G85" s="1"/>
      <c r="H85" s="1"/>
      <c r="I85" s="2" t="s">
        <v>117</v>
      </c>
      <c r="J85" s="5">
        <f t="shared" si="7"/>
        <v>0</v>
      </c>
      <c r="K85" s="2">
        <f>IF(FEDM="E",0,(ROUND(J77/PAYFACT,2)))</f>
        <v>0</v>
      </c>
      <c r="L85" s="2" t="s">
        <v>167</v>
      </c>
      <c r="M85" s="5">
        <f>IF(OR(_TG5*PAYFACT&lt;=LIE,(M77-TXCREDIT)/PAYFACT&lt;=0),0,IF(M77-TXCREDIT/PAYFACT&gt;0,ROUND((M77-TXCREDIT)/PAYFACT,2)))</f>
        <v>0</v>
      </c>
      <c r="R85" s="1"/>
      <c r="S85" s="1"/>
      <c r="T85" s="1"/>
      <c r="U85" s="1"/>
      <c r="V85" s="1"/>
      <c r="W85" s="1"/>
      <c r="X85" s="1"/>
      <c r="Y85" s="68" t="s">
        <v>300</v>
      </c>
      <c r="Z85" s="69">
        <v>0.06</v>
      </c>
      <c r="AA85" s="1">
        <v>317</v>
      </c>
      <c r="AB85" s="70" t="s">
        <v>177</v>
      </c>
      <c r="AC85" s="1"/>
      <c r="AD85" s="90" t="s">
        <v>762</v>
      </c>
      <c r="AE85" s="93">
        <v>1.4E-2</v>
      </c>
    </row>
    <row r="86" spans="1:31">
      <c r="A86" s="1"/>
      <c r="B86" s="1"/>
      <c r="C86" s="1"/>
      <c r="D86" s="1"/>
      <c r="E86" s="1"/>
      <c r="F86" s="1"/>
      <c r="G86" s="1"/>
      <c r="H86" s="1"/>
      <c r="I86" s="2" t="s">
        <v>118</v>
      </c>
      <c r="J86" s="5">
        <f t="shared" si="7"/>
        <v>0</v>
      </c>
      <c r="K86" s="2">
        <f>IF(FEDM="E",0,(ROUND(J78/PAYFACT,2)))</f>
        <v>0</v>
      </c>
      <c r="L86" s="2" t="s">
        <v>168</v>
      </c>
      <c r="M86" s="5">
        <f>IF(OR(_TG6*PAYFACT&lt;=LIE,(M78-TXCREDIT)/PAYFACT&lt;=0),0,IF(M78-TXCREDIT/PAYFACT&gt;0,ROUND((M78-TXCREDIT)/PAYFACT,2)))</f>
        <v>0</v>
      </c>
      <c r="R86" s="1"/>
      <c r="S86" s="1"/>
      <c r="T86" s="1"/>
      <c r="U86" s="1"/>
      <c r="V86" s="1"/>
      <c r="W86" s="1"/>
      <c r="X86" s="1"/>
      <c r="Y86" s="68" t="s">
        <v>301</v>
      </c>
      <c r="Z86" s="69">
        <v>0.09</v>
      </c>
      <c r="AA86" s="1">
        <v>317</v>
      </c>
      <c r="AB86" s="70" t="s">
        <v>9</v>
      </c>
      <c r="AC86" s="1"/>
      <c r="AD86" s="90" t="s">
        <v>763</v>
      </c>
      <c r="AE86" s="92">
        <v>0.03</v>
      </c>
    </row>
    <row r="87" spans="1:31">
      <c r="A87" s="58" t="s">
        <v>824</v>
      </c>
      <c r="B87" s="1"/>
      <c r="C87" s="1"/>
      <c r="D87" s="1"/>
      <c r="E87" s="1"/>
      <c r="F87" s="1"/>
      <c r="G87" s="1"/>
      <c r="H87" s="1"/>
      <c r="I87" s="1"/>
      <c r="J87" s="1"/>
      <c r="K87" s="5"/>
      <c r="L87" s="41"/>
      <c r="R87" s="1"/>
      <c r="S87" s="1"/>
      <c r="T87" s="1"/>
      <c r="U87" s="1"/>
      <c r="V87" s="1"/>
      <c r="W87" s="1"/>
      <c r="X87" s="1"/>
      <c r="Y87" s="68" t="s">
        <v>359</v>
      </c>
      <c r="Z87" s="69">
        <v>0.09</v>
      </c>
      <c r="AA87" s="1">
        <v>513</v>
      </c>
      <c r="AB87" s="70" t="s">
        <v>11</v>
      </c>
      <c r="AC87" s="1"/>
      <c r="AD87" s="90" t="s">
        <v>764</v>
      </c>
      <c r="AE87" s="92">
        <v>0.03</v>
      </c>
    </row>
    <row r="88" spans="1:31">
      <c r="A88" s="1"/>
      <c r="B88" s="1"/>
      <c r="C88" s="1"/>
      <c r="D88" s="1"/>
      <c r="E88" s="1"/>
      <c r="F88" s="1"/>
      <c r="G88" s="1"/>
      <c r="H88" s="1"/>
      <c r="K88" s="5"/>
      <c r="L88" s="41"/>
      <c r="R88" s="1"/>
      <c r="S88" s="1"/>
      <c r="T88" s="1"/>
      <c r="U88" s="1"/>
      <c r="V88" s="1"/>
      <c r="W88" s="1"/>
      <c r="X88" s="1"/>
      <c r="Y88" s="68" t="s">
        <v>360</v>
      </c>
      <c r="Z88" s="69">
        <v>0.08</v>
      </c>
      <c r="AA88" s="1">
        <v>513</v>
      </c>
      <c r="AB88" s="70" t="s">
        <v>11</v>
      </c>
      <c r="AC88" s="1"/>
      <c r="AD88" s="90" t="s">
        <v>765</v>
      </c>
      <c r="AE88" s="93">
        <v>2.5999999999999999E-2</v>
      </c>
    </row>
    <row r="89" spans="1:31">
      <c r="A89" s="58" t="s">
        <v>825</v>
      </c>
      <c r="B89" s="1"/>
      <c r="C89" s="1"/>
      <c r="D89" s="1"/>
      <c r="E89" s="1"/>
      <c r="F89" s="1"/>
      <c r="G89" s="1"/>
      <c r="H89" s="1"/>
      <c r="K89" s="5"/>
      <c r="L89" s="5"/>
      <c r="R89" s="1"/>
      <c r="S89" s="1"/>
      <c r="T89" s="1"/>
      <c r="U89" s="1"/>
      <c r="V89" s="1"/>
      <c r="W89" s="1"/>
      <c r="X89" s="1"/>
      <c r="Y89" s="68" t="s">
        <v>361</v>
      </c>
      <c r="Z89" s="69">
        <v>0.08</v>
      </c>
      <c r="AA89" s="1">
        <v>513</v>
      </c>
      <c r="AB89" s="70" t="s">
        <v>11</v>
      </c>
      <c r="AC89" s="1"/>
      <c r="AD89" s="90" t="s">
        <v>766</v>
      </c>
      <c r="AE89" s="92">
        <v>0.04</v>
      </c>
    </row>
    <row r="90" spans="1:31">
      <c r="A90" s="58"/>
      <c r="B90" s="1"/>
      <c r="C90" s="1"/>
      <c r="D90" s="1"/>
      <c r="E90" s="1"/>
      <c r="F90" s="1"/>
      <c r="G90" s="1"/>
      <c r="H90" s="1"/>
      <c r="K90" s="5"/>
      <c r="L90" s="5"/>
      <c r="R90" s="1"/>
      <c r="S90" s="1"/>
      <c r="T90" s="1"/>
      <c r="U90" s="1"/>
      <c r="V90" s="1"/>
      <c r="W90" s="1"/>
      <c r="X90" s="1"/>
      <c r="Y90" s="68" t="s">
        <v>362</v>
      </c>
      <c r="Z90" s="69">
        <v>0.05</v>
      </c>
      <c r="AA90" s="1">
        <v>513</v>
      </c>
      <c r="AB90" s="70" t="s">
        <v>11</v>
      </c>
      <c r="AC90" s="1"/>
      <c r="AD90" s="90" t="s">
        <v>767</v>
      </c>
      <c r="AE90" s="92">
        <v>0.04</v>
      </c>
    </row>
    <row r="91" spans="1:31">
      <c r="A91" s="58" t="s">
        <v>826</v>
      </c>
      <c r="B91" s="1"/>
      <c r="C91" s="1"/>
      <c r="D91" s="1"/>
      <c r="E91" s="1"/>
      <c r="F91" s="1"/>
      <c r="G91" s="1"/>
      <c r="H91" s="1"/>
      <c r="K91" s="5"/>
      <c r="L91" s="5"/>
      <c r="R91" s="1"/>
      <c r="S91" s="1"/>
      <c r="T91" s="1"/>
      <c r="U91" s="1"/>
      <c r="V91" s="1"/>
      <c r="W91" s="1"/>
      <c r="X91" s="1"/>
      <c r="Y91" s="68" t="s">
        <v>302</v>
      </c>
      <c r="Z91" s="69">
        <v>0.105</v>
      </c>
      <c r="AA91" s="1">
        <v>317</v>
      </c>
      <c r="AB91" s="70" t="s">
        <v>177</v>
      </c>
      <c r="AC91" s="1"/>
      <c r="AD91" s="90" t="s">
        <v>768</v>
      </c>
      <c r="AE91" s="92">
        <v>3.4000000000000002E-2</v>
      </c>
    </row>
    <row r="92" spans="1:31">
      <c r="A92" s="1"/>
      <c r="B92" s="1"/>
      <c r="C92" s="1"/>
      <c r="D92" s="1"/>
      <c r="E92" s="1"/>
      <c r="F92" s="1"/>
      <c r="G92" s="1"/>
      <c r="H92" s="1"/>
      <c r="K92" s="5"/>
      <c r="L92" s="5"/>
      <c r="R92" s="1"/>
      <c r="S92" s="1"/>
      <c r="T92" s="1"/>
      <c r="U92" s="1"/>
      <c r="V92" s="1"/>
      <c r="W92" s="1"/>
      <c r="X92" s="1"/>
      <c r="Y92" s="68" t="s">
        <v>233</v>
      </c>
      <c r="Z92" s="69">
        <v>0.08</v>
      </c>
      <c r="AA92" s="1">
        <v>238</v>
      </c>
      <c r="AB92" s="70" t="s">
        <v>177</v>
      </c>
      <c r="AC92" s="1"/>
      <c r="AD92" s="90" t="s">
        <v>769</v>
      </c>
      <c r="AE92" s="92">
        <v>0.02</v>
      </c>
    </row>
    <row r="93" spans="1:31">
      <c r="A93" s="58" t="s">
        <v>827</v>
      </c>
      <c r="B93" s="1"/>
      <c r="C93" s="1"/>
      <c r="D93" s="1"/>
      <c r="E93" s="1"/>
      <c r="F93" s="1"/>
      <c r="G93" s="1"/>
      <c r="H93" s="1"/>
      <c r="K93" s="1"/>
      <c r="L93" s="5"/>
      <c r="R93" s="1"/>
      <c r="S93" s="1"/>
      <c r="T93" s="1"/>
      <c r="U93" s="1"/>
      <c r="V93" s="1"/>
      <c r="W93" s="1"/>
      <c r="X93" s="1"/>
      <c r="Y93" s="68" t="s">
        <v>234</v>
      </c>
      <c r="Z93" s="69">
        <v>0.08</v>
      </c>
      <c r="AA93" s="1">
        <v>238</v>
      </c>
      <c r="AB93" s="70" t="s">
        <v>9</v>
      </c>
      <c r="AC93" s="1"/>
      <c r="AD93" s="90" t="s">
        <v>770</v>
      </c>
      <c r="AE93" s="92">
        <v>2.1000000000000001E-2</v>
      </c>
    </row>
    <row r="94" spans="1:31">
      <c r="A94" s="1" t="s">
        <v>170</v>
      </c>
      <c r="B94" s="1"/>
      <c r="C94" s="1"/>
      <c r="D94" s="1"/>
      <c r="E94" s="1"/>
      <c r="F94" s="1"/>
      <c r="G94" s="1"/>
      <c r="H94" s="1"/>
      <c r="K94" s="1"/>
      <c r="L94" s="5"/>
      <c r="R94" s="1"/>
      <c r="S94" s="1"/>
      <c r="T94" s="1"/>
      <c r="U94" s="1"/>
      <c r="V94" s="1"/>
      <c r="W94" s="1"/>
      <c r="X94" s="1"/>
      <c r="Y94" s="68" t="s">
        <v>303</v>
      </c>
      <c r="Z94" s="69">
        <v>0.01</v>
      </c>
      <c r="AA94" s="1">
        <v>317</v>
      </c>
      <c r="AB94" s="70" t="s">
        <v>9</v>
      </c>
      <c r="AC94" s="1"/>
      <c r="AD94" s="90" t="s">
        <v>771</v>
      </c>
      <c r="AE94" s="92">
        <v>0.03</v>
      </c>
    </row>
    <row r="95" spans="1:31">
      <c r="A95" s="1"/>
      <c r="B95" s="1"/>
      <c r="C95" s="1"/>
      <c r="D95" s="1"/>
      <c r="E95" s="1"/>
      <c r="F95" s="1"/>
      <c r="G95" s="1"/>
      <c r="H95" s="1"/>
      <c r="K95" s="5"/>
      <c r="L95" s="1"/>
      <c r="R95" s="1"/>
      <c r="S95" s="1"/>
      <c r="T95" s="1"/>
      <c r="U95" s="1"/>
      <c r="V95" s="1"/>
      <c r="W95" s="1"/>
      <c r="X95" s="1"/>
      <c r="Y95" s="68" t="s">
        <v>235</v>
      </c>
      <c r="Z95" s="69">
        <v>0.06</v>
      </c>
      <c r="AA95" s="1">
        <v>238</v>
      </c>
      <c r="AB95" s="70" t="s">
        <v>177</v>
      </c>
      <c r="AC95" s="1"/>
      <c r="AD95" s="90" t="s">
        <v>772</v>
      </c>
      <c r="AE95" s="93">
        <v>3.5999999999999997E-2</v>
      </c>
    </row>
    <row r="96" spans="1:31">
      <c r="A96" s="58" t="s">
        <v>828</v>
      </c>
      <c r="B96" s="1"/>
      <c r="C96" s="1"/>
      <c r="D96" s="1"/>
      <c r="E96" s="1"/>
      <c r="F96" s="1"/>
      <c r="G96" s="1"/>
      <c r="H96" s="1"/>
      <c r="K96" s="5"/>
      <c r="L96" s="1"/>
      <c r="R96" s="1"/>
      <c r="S96" s="1"/>
      <c r="T96" s="1"/>
      <c r="U96" s="1"/>
      <c r="V96" s="1"/>
      <c r="W96" s="1"/>
      <c r="X96" s="1"/>
      <c r="Y96" s="68" t="s">
        <v>236</v>
      </c>
      <c r="Z96" s="69">
        <v>0.115</v>
      </c>
      <c r="AA96" s="1">
        <v>513</v>
      </c>
      <c r="AB96" s="70" t="s">
        <v>9</v>
      </c>
      <c r="AC96" s="1"/>
      <c r="AD96" s="90" t="s">
        <v>773</v>
      </c>
      <c r="AE96" s="93">
        <v>0.03</v>
      </c>
    </row>
    <row r="97" spans="1:31">
      <c r="A97" s="1" t="s">
        <v>809</v>
      </c>
      <c r="B97" s="1"/>
      <c r="C97" s="1"/>
      <c r="D97" s="1"/>
      <c r="E97" s="1"/>
      <c r="F97" s="1"/>
      <c r="G97" s="1"/>
      <c r="H97" s="1"/>
      <c r="K97" s="5"/>
      <c r="L97" s="5"/>
      <c r="R97" s="1"/>
      <c r="S97" s="1"/>
      <c r="T97" s="1"/>
      <c r="U97" s="1"/>
      <c r="V97" s="1"/>
      <c r="W97" s="1"/>
      <c r="X97" s="1"/>
      <c r="Y97" s="68" t="s">
        <v>448</v>
      </c>
      <c r="Z97" s="69">
        <v>0.08</v>
      </c>
      <c r="AA97" s="1">
        <v>863</v>
      </c>
      <c r="AB97" s="70" t="s">
        <v>177</v>
      </c>
      <c r="AC97" s="1"/>
      <c r="AD97" s="90" t="s">
        <v>774</v>
      </c>
      <c r="AE97" s="92">
        <v>0.03</v>
      </c>
    </row>
    <row r="98" spans="1:31">
      <c r="A98" s="1" t="s">
        <v>829</v>
      </c>
      <c r="B98" s="1"/>
      <c r="C98" s="1"/>
      <c r="D98" s="1"/>
      <c r="E98" s="1"/>
      <c r="F98" s="1"/>
      <c r="G98" s="1"/>
      <c r="H98" s="1"/>
      <c r="K98" s="5"/>
      <c r="L98" s="5"/>
      <c r="R98" s="1"/>
      <c r="S98" s="1"/>
      <c r="T98" s="1"/>
      <c r="U98" s="1"/>
      <c r="V98" s="1"/>
      <c r="W98" s="1"/>
      <c r="X98" s="1"/>
      <c r="Y98" s="68" t="s">
        <v>237</v>
      </c>
      <c r="Z98" s="69">
        <v>0.08</v>
      </c>
      <c r="AA98" s="1">
        <v>238</v>
      </c>
      <c r="AB98" s="70" t="s">
        <v>177</v>
      </c>
      <c r="AC98" s="1"/>
      <c r="AD98" s="90" t="s">
        <v>775</v>
      </c>
      <c r="AE98" s="92">
        <v>0.03</v>
      </c>
    </row>
    <row r="99" spans="1:31">
      <c r="A99" s="1"/>
      <c r="B99" s="1"/>
      <c r="C99" s="1"/>
      <c r="D99" s="1"/>
      <c r="E99" s="1"/>
      <c r="F99" s="1"/>
      <c r="G99" s="1"/>
      <c r="H99" s="1"/>
      <c r="K99" s="5"/>
      <c r="L99" s="5"/>
      <c r="R99" s="1"/>
      <c r="S99" s="1"/>
      <c r="T99" s="1"/>
      <c r="U99" s="1"/>
      <c r="V99" s="1"/>
      <c r="W99" s="1"/>
      <c r="X99" s="1"/>
      <c r="Y99" s="68" t="s">
        <v>238</v>
      </c>
      <c r="Z99" s="69">
        <v>0.13</v>
      </c>
      <c r="AA99" s="1">
        <v>863</v>
      </c>
      <c r="AB99" s="70" t="s">
        <v>177</v>
      </c>
      <c r="AC99" s="1"/>
      <c r="AD99" s="90" t="s">
        <v>776</v>
      </c>
      <c r="AE99" s="92">
        <v>1.4E-2</v>
      </c>
    </row>
    <row r="100" spans="1:31">
      <c r="A100" s="58" t="s">
        <v>830</v>
      </c>
      <c r="B100" s="1"/>
      <c r="C100" s="1"/>
      <c r="D100" s="1"/>
      <c r="E100" s="1"/>
      <c r="F100" s="1"/>
      <c r="G100" s="1"/>
      <c r="H100" s="1"/>
      <c r="K100" s="5"/>
      <c r="L100" s="5"/>
      <c r="R100" s="1"/>
      <c r="S100" s="1"/>
      <c r="T100" s="1"/>
      <c r="U100" s="1"/>
      <c r="V100" s="1"/>
      <c r="W100" s="1"/>
      <c r="X100" s="1"/>
      <c r="Y100" s="68" t="s">
        <v>239</v>
      </c>
      <c r="Z100" s="69">
        <v>0.13</v>
      </c>
      <c r="AA100" s="1">
        <v>863</v>
      </c>
      <c r="AB100" s="70" t="s">
        <v>9</v>
      </c>
      <c r="AC100" s="1"/>
      <c r="AD100" s="90" t="s">
        <v>777</v>
      </c>
      <c r="AE100" s="92">
        <v>0.03</v>
      </c>
    </row>
    <row r="101" spans="1:31">
      <c r="A101" s="1" t="s">
        <v>105</v>
      </c>
      <c r="B101" s="1"/>
      <c r="C101" s="1"/>
      <c r="D101" s="1"/>
      <c r="E101" s="1"/>
      <c r="F101" s="1"/>
      <c r="G101" s="1"/>
      <c r="H101" s="1"/>
      <c r="K101" s="1"/>
      <c r="L101" s="5"/>
      <c r="R101" s="1"/>
      <c r="S101" s="1"/>
      <c r="T101" s="1"/>
      <c r="U101" s="1"/>
      <c r="V101" s="1"/>
      <c r="W101" s="1"/>
      <c r="X101" s="1"/>
      <c r="Y101" s="68" t="s">
        <v>449</v>
      </c>
      <c r="Z101" s="69">
        <v>0.13</v>
      </c>
      <c r="AA101" s="1">
        <v>863</v>
      </c>
      <c r="AB101" s="70" t="s">
        <v>177</v>
      </c>
      <c r="AC101" s="1"/>
      <c r="AD101" s="90" t="s">
        <v>778</v>
      </c>
      <c r="AE101" s="92">
        <v>0.04</v>
      </c>
    </row>
    <row r="102" spans="1:31">
      <c r="A102" s="1" t="s">
        <v>522</v>
      </c>
      <c r="B102" s="1"/>
      <c r="C102" s="1"/>
      <c r="D102" s="1"/>
      <c r="E102" s="1"/>
      <c r="F102" s="1"/>
      <c r="G102" s="1"/>
      <c r="H102" s="1"/>
      <c r="K102" s="1"/>
      <c r="L102" s="5"/>
      <c r="R102" s="1"/>
      <c r="S102" s="1"/>
      <c r="T102" s="1"/>
      <c r="U102" s="1"/>
      <c r="V102" s="1"/>
      <c r="W102" s="1"/>
      <c r="X102" s="1"/>
      <c r="Y102" s="68" t="s">
        <v>450</v>
      </c>
      <c r="Z102" s="69">
        <v>0.13</v>
      </c>
      <c r="AA102" s="1">
        <v>863</v>
      </c>
      <c r="AB102" s="70" t="s">
        <v>9</v>
      </c>
      <c r="AC102" s="1"/>
      <c r="AD102" s="90" t="s">
        <v>779</v>
      </c>
      <c r="AE102" s="92">
        <v>0.03</v>
      </c>
    </row>
    <row r="103" spans="1:31">
      <c r="A103" s="1" t="s">
        <v>523</v>
      </c>
      <c r="B103" s="1"/>
      <c r="C103" s="1"/>
      <c r="D103" s="1"/>
      <c r="E103" s="1"/>
      <c r="F103" s="1"/>
      <c r="G103" s="1"/>
      <c r="H103" s="1"/>
      <c r="K103" s="5"/>
      <c r="L103" s="1"/>
      <c r="R103" s="1"/>
      <c r="S103" s="1"/>
      <c r="T103" s="1"/>
      <c r="U103" s="1"/>
      <c r="V103" s="1"/>
      <c r="W103" s="1"/>
      <c r="X103" s="1"/>
      <c r="Y103" s="68" t="s">
        <v>240</v>
      </c>
      <c r="Z103" s="69">
        <v>0.13</v>
      </c>
      <c r="AA103" s="1">
        <v>863</v>
      </c>
      <c r="AB103" s="70" t="s">
        <v>177</v>
      </c>
      <c r="AC103" s="1"/>
      <c r="AD103" s="90" t="s">
        <v>780</v>
      </c>
      <c r="AE103" s="92">
        <v>0.03</v>
      </c>
    </row>
    <row r="104" spans="1:31">
      <c r="A104" s="60" t="s">
        <v>524</v>
      </c>
      <c r="B104" s="1"/>
      <c r="C104" s="1"/>
      <c r="D104" s="1"/>
      <c r="E104" s="1"/>
      <c r="F104" s="1"/>
      <c r="G104" s="1"/>
      <c r="H104" s="1"/>
      <c r="K104" s="5"/>
      <c r="L104" s="1"/>
      <c r="R104" s="1"/>
      <c r="S104" s="1"/>
      <c r="T104" s="1"/>
      <c r="U104" s="1"/>
      <c r="V104" s="1"/>
      <c r="W104" s="1"/>
      <c r="X104" s="1"/>
      <c r="Y104" s="68" t="s">
        <v>241</v>
      </c>
      <c r="Z104" s="69">
        <v>0.13</v>
      </c>
      <c r="AA104" s="1">
        <v>863</v>
      </c>
      <c r="AB104" s="70" t="s">
        <v>9</v>
      </c>
      <c r="AC104" s="1"/>
      <c r="AD104" s="90" t="s">
        <v>781</v>
      </c>
      <c r="AE104" s="92">
        <v>0.03</v>
      </c>
    </row>
    <row r="105" spans="1:31">
      <c r="A105" s="1"/>
      <c r="B105" s="1"/>
      <c r="C105" s="1"/>
      <c r="D105" s="1"/>
      <c r="E105" s="1"/>
      <c r="F105" s="1"/>
      <c r="G105" s="1"/>
      <c r="H105" s="1"/>
      <c r="K105" s="5"/>
      <c r="L105" s="5"/>
      <c r="R105" s="1"/>
      <c r="S105" s="1"/>
      <c r="T105" s="1"/>
      <c r="U105" s="1"/>
      <c r="V105" s="1"/>
      <c r="W105" s="1"/>
      <c r="X105" s="1"/>
      <c r="Y105" s="68" t="s">
        <v>242</v>
      </c>
      <c r="Z105" s="69">
        <v>0.13250000000000001</v>
      </c>
      <c r="AA105" s="1">
        <v>0</v>
      </c>
      <c r="AB105" s="70" t="s">
        <v>177</v>
      </c>
      <c r="AC105" s="1"/>
      <c r="AD105" s="90" t="s">
        <v>782</v>
      </c>
      <c r="AE105" s="92">
        <v>0.03</v>
      </c>
    </row>
    <row r="106" spans="1:31">
      <c r="A106" s="58" t="s">
        <v>831</v>
      </c>
      <c r="B106" s="1"/>
      <c r="C106" s="1"/>
      <c r="D106" s="1"/>
      <c r="E106" s="1"/>
      <c r="F106" s="1"/>
      <c r="G106" s="1"/>
      <c r="H106" s="1"/>
      <c r="K106" s="5"/>
      <c r="L106" s="5"/>
      <c r="R106" s="1"/>
      <c r="S106" s="1"/>
      <c r="T106" s="1"/>
      <c r="U106" s="1"/>
      <c r="V106" s="1"/>
      <c r="W106" s="1"/>
      <c r="X106" s="1"/>
      <c r="Y106" s="68" t="s">
        <v>243</v>
      </c>
      <c r="Z106" s="69">
        <v>0.13250000000000001</v>
      </c>
      <c r="AA106" s="1">
        <v>0</v>
      </c>
      <c r="AB106" s="70" t="s">
        <v>9</v>
      </c>
      <c r="AC106" s="1"/>
      <c r="AD106" s="90" t="s">
        <v>783</v>
      </c>
      <c r="AE106" s="93">
        <v>1.4E-2</v>
      </c>
    </row>
    <row r="107" spans="1:31">
      <c r="A107" s="1" t="s">
        <v>832</v>
      </c>
      <c r="B107" s="1"/>
      <c r="C107" s="1"/>
      <c r="D107" s="1"/>
      <c r="E107" s="1"/>
      <c r="F107" s="1"/>
      <c r="G107" s="1"/>
      <c r="H107" s="1"/>
      <c r="K107" s="5"/>
      <c r="L107" s="5"/>
      <c r="R107" s="1"/>
      <c r="S107" s="1"/>
      <c r="T107" s="1"/>
      <c r="U107" s="1"/>
      <c r="V107" s="1"/>
      <c r="W107" s="1"/>
      <c r="X107" s="1"/>
      <c r="Y107" s="68" t="s">
        <v>363</v>
      </c>
      <c r="Z107" s="69">
        <v>0.08</v>
      </c>
      <c r="AA107" s="1">
        <v>513</v>
      </c>
      <c r="AB107" s="70" t="s">
        <v>177</v>
      </c>
      <c r="AC107" s="1"/>
      <c r="AD107" s="90" t="s">
        <v>784</v>
      </c>
      <c r="AE107" s="92">
        <v>0.03</v>
      </c>
    </row>
    <row r="108" spans="1:31">
      <c r="A108" s="60" t="s">
        <v>810</v>
      </c>
      <c r="B108" s="1"/>
      <c r="C108" s="1"/>
      <c r="D108" s="1"/>
      <c r="E108" s="1"/>
      <c r="F108" s="1"/>
      <c r="G108" s="1"/>
      <c r="H108" s="1"/>
      <c r="K108" s="5"/>
      <c r="L108" s="5"/>
      <c r="R108" s="1"/>
      <c r="S108" s="1"/>
      <c r="T108" s="1"/>
      <c r="U108" s="1"/>
      <c r="V108" s="1"/>
      <c r="W108" s="1"/>
      <c r="X108" s="1"/>
      <c r="Y108" s="68" t="s">
        <v>364</v>
      </c>
      <c r="Z108" s="69">
        <v>0.08</v>
      </c>
      <c r="AA108" s="1">
        <v>513</v>
      </c>
      <c r="AB108" s="70" t="s">
        <v>9</v>
      </c>
      <c r="AC108" s="1"/>
      <c r="AD108" s="90" t="s">
        <v>785</v>
      </c>
      <c r="AE108" s="92">
        <v>0.03</v>
      </c>
    </row>
    <row r="109" spans="1:31">
      <c r="A109" s="1"/>
      <c r="B109" s="1"/>
      <c r="C109" s="1"/>
      <c r="D109" s="1"/>
      <c r="E109" s="1"/>
      <c r="F109" s="1"/>
      <c r="G109" s="1"/>
      <c r="H109" s="1"/>
      <c r="K109" s="1"/>
      <c r="L109" s="5"/>
      <c r="R109" s="1"/>
      <c r="S109" s="1"/>
      <c r="T109" s="1"/>
      <c r="U109" s="1"/>
      <c r="V109" s="1"/>
      <c r="W109" s="1"/>
      <c r="X109" s="1"/>
      <c r="Y109" s="68" t="s">
        <v>451</v>
      </c>
      <c r="Z109" s="69">
        <v>0.11</v>
      </c>
      <c r="AA109" s="1">
        <v>863</v>
      </c>
      <c r="AB109" s="70" t="s">
        <v>177</v>
      </c>
      <c r="AC109" s="1"/>
      <c r="AD109" s="90" t="s">
        <v>786</v>
      </c>
      <c r="AE109" s="93">
        <v>2.5999999999999999E-2</v>
      </c>
    </row>
    <row r="110" spans="1:31">
      <c r="A110" s="58" t="s">
        <v>833</v>
      </c>
      <c r="B110" s="1"/>
      <c r="C110" s="1"/>
      <c r="D110" s="1"/>
      <c r="E110" s="1"/>
      <c r="F110" s="1"/>
      <c r="G110" s="1"/>
      <c r="H110" s="1"/>
      <c r="K110" s="1"/>
      <c r="L110" s="5"/>
      <c r="R110" s="1"/>
      <c r="S110" s="1"/>
      <c r="T110" s="1"/>
      <c r="U110" s="1"/>
      <c r="V110" s="1"/>
      <c r="W110" s="1"/>
      <c r="X110" s="1"/>
      <c r="Y110" s="68" t="s">
        <v>452</v>
      </c>
      <c r="Z110" s="69">
        <v>0.13</v>
      </c>
      <c r="AA110" s="1">
        <v>863</v>
      </c>
      <c r="AB110" s="70" t="s">
        <v>9</v>
      </c>
      <c r="AC110" s="1"/>
      <c r="AD110" s="90" t="s">
        <v>787</v>
      </c>
      <c r="AE110" s="92">
        <v>0.04</v>
      </c>
    </row>
    <row r="111" spans="1:31">
      <c r="A111" s="1" t="s">
        <v>112</v>
      </c>
      <c r="B111" s="1"/>
      <c r="C111" s="1"/>
      <c r="D111" s="1"/>
      <c r="E111" s="1"/>
      <c r="F111" s="1"/>
      <c r="G111" s="1"/>
      <c r="H111" s="1"/>
      <c r="K111" s="1"/>
      <c r="L111" s="1"/>
      <c r="R111" s="1"/>
      <c r="S111" s="1"/>
      <c r="T111" s="1"/>
      <c r="U111" s="1"/>
      <c r="V111" s="1"/>
      <c r="W111" s="1"/>
      <c r="X111" s="1"/>
      <c r="Y111" s="68" t="s">
        <v>244</v>
      </c>
      <c r="Z111" s="69">
        <v>0.08</v>
      </c>
      <c r="AA111" s="1">
        <v>238</v>
      </c>
      <c r="AB111" s="70" t="s">
        <v>177</v>
      </c>
      <c r="AC111" s="1"/>
      <c r="AD111" s="90" t="s">
        <v>788</v>
      </c>
      <c r="AE111" s="92">
        <v>0.04</v>
      </c>
    </row>
    <row r="112" spans="1:31">
      <c r="A112" s="1" t="s">
        <v>510</v>
      </c>
      <c r="B112" s="1"/>
      <c r="C112" s="1"/>
      <c r="D112" s="1"/>
      <c r="E112" s="1"/>
      <c r="F112" s="1"/>
      <c r="G112" s="1"/>
      <c r="H112" s="1"/>
      <c r="K112" s="1"/>
      <c r="L112" s="1"/>
      <c r="R112" s="1"/>
      <c r="S112" s="1"/>
      <c r="T112" s="1"/>
      <c r="U112" s="1"/>
      <c r="V112" s="1"/>
      <c r="W112" s="1"/>
      <c r="X112" s="1"/>
      <c r="Y112" s="68" t="s">
        <v>245</v>
      </c>
      <c r="Z112" s="69">
        <v>0.08</v>
      </c>
      <c r="AA112" s="1">
        <v>238</v>
      </c>
      <c r="AB112" s="70" t="s">
        <v>9</v>
      </c>
      <c r="AC112" s="1"/>
      <c r="AD112" s="90" t="s">
        <v>789</v>
      </c>
      <c r="AE112" s="92">
        <v>3.4000000000000002E-2</v>
      </c>
    </row>
    <row r="113" spans="1:31">
      <c r="A113" s="1" t="s">
        <v>511</v>
      </c>
      <c r="B113" s="1"/>
      <c r="C113" s="1"/>
      <c r="D113" s="1"/>
      <c r="E113" s="1"/>
      <c r="F113" s="1"/>
      <c r="G113" s="1"/>
      <c r="H113" s="1"/>
      <c r="K113" s="5"/>
      <c r="L113" s="1"/>
      <c r="R113" s="1"/>
      <c r="S113" s="1"/>
      <c r="T113" s="1"/>
      <c r="U113" s="1"/>
      <c r="V113" s="1"/>
      <c r="W113" s="1"/>
      <c r="X113" s="1"/>
      <c r="Y113" s="68" t="s">
        <v>246</v>
      </c>
      <c r="Z113" s="69">
        <v>0.08</v>
      </c>
      <c r="AA113" s="1">
        <v>238</v>
      </c>
      <c r="AB113" s="70" t="s">
        <v>177</v>
      </c>
      <c r="AC113" s="1"/>
      <c r="AD113" s="90" t="s">
        <v>790</v>
      </c>
      <c r="AE113" s="92">
        <v>0.02</v>
      </c>
    </row>
    <row r="114" spans="1:31">
      <c r="A114" s="1"/>
      <c r="B114" s="1"/>
      <c r="C114" s="1"/>
      <c r="D114" s="1"/>
      <c r="E114" s="1"/>
      <c r="F114" s="1"/>
      <c r="G114" s="1"/>
      <c r="H114" s="1"/>
      <c r="K114" s="5"/>
      <c r="L114" s="1"/>
      <c r="R114" s="1"/>
      <c r="S114" s="1"/>
      <c r="T114" s="1"/>
      <c r="U114" s="1"/>
      <c r="V114" s="1"/>
      <c r="W114" s="1"/>
      <c r="X114" s="1"/>
      <c r="Y114" s="68" t="s">
        <v>247</v>
      </c>
      <c r="Z114" s="69">
        <v>0.08</v>
      </c>
      <c r="AA114" s="1">
        <v>238</v>
      </c>
      <c r="AB114" s="70" t="s">
        <v>9</v>
      </c>
      <c r="AC114" s="1"/>
      <c r="AD114" s="90" t="s">
        <v>791</v>
      </c>
      <c r="AE114" s="92">
        <v>2.1000000000000001E-2</v>
      </c>
    </row>
    <row r="115" spans="1:31">
      <c r="A115" s="1"/>
      <c r="B115" s="1"/>
      <c r="C115" s="1"/>
      <c r="D115" s="1"/>
      <c r="E115" s="1"/>
      <c r="F115" s="1"/>
      <c r="G115" s="1"/>
      <c r="H115" s="1"/>
      <c r="K115" s="5"/>
      <c r="L115" s="5"/>
      <c r="R115" s="1"/>
      <c r="S115" s="1"/>
      <c r="T115" s="1"/>
      <c r="U115" s="1"/>
      <c r="V115" s="1"/>
      <c r="W115" s="1"/>
      <c r="X115" s="1"/>
      <c r="Y115" s="68" t="s">
        <v>453</v>
      </c>
      <c r="Z115" s="69">
        <v>0.125</v>
      </c>
      <c r="AA115" s="1">
        <v>863</v>
      </c>
      <c r="AB115" s="70" t="s">
        <v>177</v>
      </c>
      <c r="AC115" s="1"/>
      <c r="AD115" s="90" t="s">
        <v>792</v>
      </c>
      <c r="AE115" s="92">
        <v>0.03</v>
      </c>
    </row>
    <row r="116" spans="1:31">
      <c r="A116" s="1"/>
      <c r="B116" s="1"/>
      <c r="C116" s="1"/>
      <c r="D116" s="1"/>
      <c r="E116" s="1"/>
      <c r="F116" s="1"/>
      <c r="G116" s="1"/>
      <c r="H116" s="1"/>
      <c r="K116" s="5"/>
      <c r="L116" s="5"/>
      <c r="R116" s="1"/>
      <c r="S116" s="1"/>
      <c r="T116" s="1"/>
      <c r="U116" s="1"/>
      <c r="V116" s="1"/>
      <c r="W116" s="1"/>
      <c r="X116" s="1"/>
      <c r="Y116" s="68" t="s">
        <v>454</v>
      </c>
      <c r="Z116" s="69">
        <v>0.13</v>
      </c>
      <c r="AA116" s="1">
        <v>863</v>
      </c>
      <c r="AB116" s="70" t="s">
        <v>9</v>
      </c>
      <c r="AC116" s="1"/>
      <c r="AD116" s="90" t="s">
        <v>793</v>
      </c>
      <c r="AE116" s="93">
        <v>3.5999999999999997E-2</v>
      </c>
    </row>
    <row r="117" spans="1:31">
      <c r="A117" s="1"/>
      <c r="B117" s="1"/>
      <c r="C117" s="1"/>
      <c r="D117" s="1"/>
      <c r="E117" s="1"/>
      <c r="F117" s="1"/>
      <c r="G117" s="1"/>
      <c r="H117" s="1"/>
      <c r="K117" s="5"/>
      <c r="L117" s="5"/>
      <c r="R117" s="1"/>
      <c r="S117" s="1"/>
      <c r="T117" s="1"/>
      <c r="U117" s="1"/>
      <c r="V117" s="1"/>
      <c r="W117" s="1"/>
      <c r="X117" s="1"/>
      <c r="Y117" s="68" t="s">
        <v>455</v>
      </c>
      <c r="Z117" s="69">
        <v>0.125</v>
      </c>
      <c r="AA117" s="1">
        <v>863</v>
      </c>
      <c r="AB117" s="70" t="s">
        <v>177</v>
      </c>
      <c r="AC117" s="1"/>
      <c r="AD117" s="90" t="s">
        <v>794</v>
      </c>
      <c r="AE117" s="93">
        <v>0.03</v>
      </c>
    </row>
    <row r="118" spans="1:31">
      <c r="A118" s="1"/>
      <c r="B118" s="1"/>
      <c r="C118" s="1"/>
      <c r="D118" s="1"/>
      <c r="E118" s="1"/>
      <c r="F118" s="1"/>
      <c r="G118" s="1"/>
      <c r="H118" s="1"/>
      <c r="K118" s="5"/>
      <c r="L118" s="5"/>
      <c r="R118" s="1"/>
      <c r="S118" s="1"/>
      <c r="T118" s="1"/>
      <c r="U118" s="1"/>
      <c r="V118" s="1"/>
      <c r="W118" s="1"/>
      <c r="X118" s="1"/>
      <c r="Y118" s="68" t="s">
        <v>456</v>
      </c>
      <c r="Z118" s="69">
        <v>0.125</v>
      </c>
      <c r="AA118" s="1">
        <v>863</v>
      </c>
      <c r="AB118" s="70" t="s">
        <v>9</v>
      </c>
      <c r="AC118" s="1"/>
      <c r="AD118" s="90" t="s">
        <v>795</v>
      </c>
      <c r="AE118" s="92">
        <v>0.03</v>
      </c>
    </row>
    <row r="119" spans="1:31">
      <c r="A119" s="1"/>
      <c r="B119" s="1"/>
      <c r="C119" s="1"/>
      <c r="D119" s="1"/>
      <c r="E119" s="1"/>
      <c r="F119" s="1"/>
      <c r="G119" s="1"/>
      <c r="H119" s="1"/>
      <c r="K119" s="5"/>
      <c r="L119" s="5"/>
      <c r="R119" s="1"/>
      <c r="S119" s="1"/>
      <c r="T119" s="1"/>
      <c r="U119" s="1"/>
      <c r="V119" s="1"/>
      <c r="W119" s="1"/>
      <c r="X119" s="1"/>
      <c r="Y119" s="68" t="s">
        <v>248</v>
      </c>
      <c r="Z119" s="69">
        <v>0.13250000000000001</v>
      </c>
      <c r="AA119" s="1">
        <v>0</v>
      </c>
      <c r="AB119" s="70" t="s">
        <v>177</v>
      </c>
      <c r="AC119" s="1"/>
      <c r="AD119" s="90" t="s">
        <v>796</v>
      </c>
      <c r="AE119" s="92">
        <v>0.03</v>
      </c>
    </row>
    <row r="120" spans="1:31">
      <c r="A120" s="1"/>
      <c r="B120" s="1"/>
      <c r="C120" s="1"/>
      <c r="D120" s="1"/>
      <c r="E120" s="1"/>
      <c r="F120" s="1"/>
      <c r="G120" s="1"/>
      <c r="H120" s="1"/>
      <c r="K120" s="1"/>
      <c r="L120" s="5"/>
      <c r="R120" s="1"/>
      <c r="S120" s="1"/>
      <c r="T120" s="1"/>
      <c r="U120" s="1"/>
      <c r="V120" s="1"/>
      <c r="W120" s="1"/>
      <c r="X120" s="1"/>
      <c r="Y120" s="68" t="s">
        <v>365</v>
      </c>
      <c r="Z120" s="69">
        <v>0.1</v>
      </c>
      <c r="AA120" s="1">
        <v>513</v>
      </c>
      <c r="AB120" s="70" t="s">
        <v>177</v>
      </c>
      <c r="AC120" s="1"/>
      <c r="AD120" s="90" t="s">
        <v>797</v>
      </c>
      <c r="AE120" s="92">
        <v>1.4E-2</v>
      </c>
    </row>
    <row r="121" spans="1:31">
      <c r="A121" s="1"/>
      <c r="B121" s="1"/>
      <c r="C121" s="1"/>
      <c r="D121" s="1"/>
      <c r="E121" s="1"/>
      <c r="F121" s="1"/>
      <c r="G121" s="1"/>
      <c r="H121" s="1"/>
      <c r="K121" s="5"/>
      <c r="L121" s="5"/>
      <c r="R121" s="1"/>
      <c r="S121" s="1"/>
      <c r="T121" s="1"/>
      <c r="U121" s="1"/>
      <c r="V121" s="1"/>
      <c r="W121" s="1"/>
      <c r="X121" s="1"/>
      <c r="Y121" s="68" t="s">
        <v>366</v>
      </c>
      <c r="Z121" s="69">
        <v>0.13</v>
      </c>
      <c r="AA121" s="1">
        <v>513</v>
      </c>
      <c r="AB121" s="70" t="s">
        <v>9</v>
      </c>
      <c r="AC121" s="1"/>
      <c r="AD121" s="90" t="s">
        <v>798</v>
      </c>
      <c r="AE121" s="92">
        <v>0.03</v>
      </c>
    </row>
    <row r="122" spans="1:31">
      <c r="A122" s="1"/>
      <c r="B122" s="1"/>
      <c r="C122" s="1"/>
      <c r="D122" s="1"/>
      <c r="E122" s="1"/>
      <c r="F122" s="1"/>
      <c r="G122" s="1"/>
      <c r="H122" s="1"/>
      <c r="K122" s="5"/>
      <c r="L122" s="1"/>
      <c r="R122" s="1"/>
      <c r="S122" s="1"/>
      <c r="T122" s="1"/>
      <c r="U122" s="1"/>
      <c r="V122" s="1"/>
      <c r="W122" s="1"/>
      <c r="X122" s="1"/>
      <c r="Y122" s="68" t="s">
        <v>249</v>
      </c>
      <c r="Z122" s="69">
        <v>0.13250000000000001</v>
      </c>
      <c r="AA122" s="1">
        <v>0</v>
      </c>
      <c r="AB122" s="70" t="s">
        <v>9</v>
      </c>
      <c r="AC122" s="1"/>
      <c r="AD122" s="90" t="s">
        <v>799</v>
      </c>
      <c r="AE122" s="92">
        <v>0.04</v>
      </c>
    </row>
    <row r="123" spans="1:31">
      <c r="A123" s="1"/>
      <c r="B123" s="1"/>
      <c r="C123" s="1"/>
      <c r="D123" s="1"/>
      <c r="E123" s="1"/>
      <c r="F123" s="1"/>
      <c r="G123" s="1"/>
      <c r="H123" s="1"/>
      <c r="K123" s="5"/>
      <c r="L123" s="5"/>
      <c r="R123" s="1"/>
      <c r="S123" s="1"/>
      <c r="T123" s="1"/>
      <c r="U123" s="1"/>
      <c r="V123" s="1"/>
      <c r="W123" s="1"/>
      <c r="X123" s="1"/>
      <c r="Y123" s="68" t="s">
        <v>304</v>
      </c>
      <c r="Z123" s="69">
        <v>0.105</v>
      </c>
      <c r="AA123" s="1">
        <v>317</v>
      </c>
      <c r="AB123" s="70" t="s">
        <v>177</v>
      </c>
      <c r="AC123" s="1"/>
      <c r="AD123" s="90" t="s">
        <v>800</v>
      </c>
      <c r="AE123" s="92">
        <v>0.03</v>
      </c>
    </row>
    <row r="124" spans="1:31">
      <c r="A124" s="1"/>
      <c r="B124" s="1"/>
      <c r="C124" s="1"/>
      <c r="D124" s="1"/>
      <c r="E124" s="1"/>
      <c r="F124" s="1"/>
      <c r="G124" s="1"/>
      <c r="H124" s="1"/>
      <c r="K124" s="5"/>
      <c r="L124" s="5"/>
      <c r="R124" s="1"/>
      <c r="S124" s="1"/>
      <c r="T124" s="1"/>
      <c r="U124" s="1"/>
      <c r="V124" s="1"/>
      <c r="W124" s="1"/>
      <c r="X124" s="1"/>
      <c r="Y124" s="68" t="s">
        <v>190</v>
      </c>
      <c r="Z124" s="69">
        <v>3.7499999999999999E-2</v>
      </c>
      <c r="AA124" s="1">
        <v>0</v>
      </c>
      <c r="AB124" s="70" t="s">
        <v>11</v>
      </c>
      <c r="AC124" s="1"/>
      <c r="AD124" s="90" t="s">
        <v>801</v>
      </c>
      <c r="AE124" s="92">
        <v>0.03</v>
      </c>
    </row>
    <row r="125" spans="1:31">
      <c r="A125" s="1"/>
      <c r="B125" s="1"/>
      <c r="C125" s="1"/>
      <c r="D125" s="1"/>
      <c r="E125" s="1"/>
      <c r="F125" s="1"/>
      <c r="G125" s="1"/>
      <c r="H125" s="1"/>
      <c r="K125" s="5"/>
      <c r="L125" s="5"/>
      <c r="R125" s="1"/>
      <c r="S125" s="1"/>
      <c r="T125" s="1"/>
      <c r="U125" s="1"/>
      <c r="V125" s="1"/>
      <c r="W125" s="1"/>
      <c r="X125" s="1"/>
      <c r="Y125" s="68" t="s">
        <v>305</v>
      </c>
      <c r="Z125" s="69">
        <v>0.06</v>
      </c>
      <c r="AA125" s="1">
        <v>317</v>
      </c>
      <c r="AB125" s="70" t="s">
        <v>9</v>
      </c>
      <c r="AC125" s="1"/>
      <c r="AD125" s="91" t="s">
        <v>802</v>
      </c>
      <c r="AE125" s="94">
        <v>0.03</v>
      </c>
    </row>
    <row r="126" spans="1:31">
      <c r="A126" s="1"/>
      <c r="B126" s="1"/>
      <c r="C126" s="1"/>
      <c r="D126" s="1"/>
      <c r="E126" s="1"/>
      <c r="F126" s="1"/>
      <c r="G126" s="1"/>
      <c r="H126" s="1"/>
      <c r="K126" s="5"/>
      <c r="L126" s="5"/>
      <c r="R126" s="1"/>
      <c r="S126" s="1"/>
      <c r="T126" s="1"/>
      <c r="U126" s="1"/>
      <c r="V126" s="1"/>
      <c r="W126" s="1"/>
      <c r="X126" s="1"/>
      <c r="Y126" s="68" t="s">
        <v>367</v>
      </c>
      <c r="Z126" s="69">
        <v>0.05</v>
      </c>
      <c r="AA126" s="1">
        <v>513</v>
      </c>
      <c r="AB126" s="70" t="s">
        <v>11</v>
      </c>
      <c r="AC126" s="1"/>
      <c r="AD126" s="1"/>
      <c r="AE126" s="1"/>
    </row>
    <row r="127" spans="1:31">
      <c r="A127" s="1"/>
      <c r="B127" s="1"/>
      <c r="C127" s="1"/>
      <c r="D127" s="1"/>
      <c r="E127" s="1"/>
      <c r="F127" s="1"/>
      <c r="G127" s="1"/>
      <c r="H127" s="1"/>
      <c r="K127" s="1"/>
      <c r="L127" s="5"/>
      <c r="R127" s="1"/>
      <c r="S127" s="1"/>
      <c r="T127" s="1"/>
      <c r="U127" s="1"/>
      <c r="V127" s="1"/>
      <c r="W127" s="1"/>
      <c r="X127" s="1"/>
      <c r="Y127" s="68" t="s">
        <v>191</v>
      </c>
      <c r="Z127" s="69">
        <v>3.7499999999999999E-2</v>
      </c>
      <c r="AA127" s="1">
        <v>0</v>
      </c>
      <c r="AB127" s="70" t="s">
        <v>11</v>
      </c>
      <c r="AC127" s="1"/>
      <c r="AD127" s="1"/>
      <c r="AE127" s="1"/>
    </row>
    <row r="128" spans="1:31">
      <c r="A128" s="1"/>
      <c r="B128" s="1"/>
      <c r="C128" s="1"/>
      <c r="D128" s="1"/>
      <c r="E128" s="1"/>
      <c r="F128" s="1"/>
      <c r="G128" s="1"/>
      <c r="H128" s="1"/>
      <c r="K128" s="1"/>
      <c r="L128" s="5"/>
      <c r="R128" s="1"/>
      <c r="S128" s="1"/>
      <c r="T128" s="1"/>
      <c r="U128" s="1"/>
      <c r="V128" s="1"/>
      <c r="W128" s="1"/>
      <c r="X128" s="1"/>
      <c r="Y128" s="68" t="s">
        <v>368</v>
      </c>
      <c r="Z128" s="69">
        <v>0.08</v>
      </c>
      <c r="AA128" s="1">
        <v>513</v>
      </c>
      <c r="AB128" s="70" t="s">
        <v>11</v>
      </c>
      <c r="AC128" s="1"/>
      <c r="AD128" s="1"/>
      <c r="AE128" s="1"/>
    </row>
    <row r="129" spans="1:31">
      <c r="A129" s="1"/>
      <c r="B129" s="1"/>
      <c r="C129" s="1"/>
      <c r="D129" s="1"/>
      <c r="E129" s="1"/>
      <c r="F129" s="1"/>
      <c r="G129" s="1"/>
      <c r="H129" s="1"/>
      <c r="K129" s="5"/>
      <c r="L129" s="1"/>
      <c r="R129" s="1"/>
      <c r="S129" s="1"/>
      <c r="T129" s="1"/>
      <c r="U129" s="1"/>
      <c r="V129" s="1"/>
      <c r="W129" s="1"/>
      <c r="X129" s="1"/>
      <c r="Y129" s="68" t="s">
        <v>306</v>
      </c>
      <c r="Z129" s="69">
        <v>0.06</v>
      </c>
      <c r="AA129" s="1">
        <v>317</v>
      </c>
      <c r="AB129" s="70" t="s">
        <v>177</v>
      </c>
      <c r="AC129" s="1"/>
      <c r="AD129" s="1"/>
      <c r="AE129" s="1"/>
    </row>
    <row r="130" spans="1:31">
      <c r="A130" s="1"/>
      <c r="B130" s="1"/>
      <c r="C130" s="1"/>
      <c r="D130" s="1"/>
      <c r="E130" s="1"/>
      <c r="F130" s="1"/>
      <c r="G130" s="1"/>
      <c r="H130" s="1"/>
      <c r="K130" s="5"/>
      <c r="L130" s="1"/>
      <c r="R130" s="1"/>
      <c r="S130" s="1"/>
      <c r="T130" s="1"/>
      <c r="U130" s="1"/>
      <c r="V130" s="1"/>
      <c r="W130" s="1"/>
      <c r="X130" s="1"/>
      <c r="Y130" s="68" t="s">
        <v>192</v>
      </c>
      <c r="Z130" s="69">
        <v>3.7499999999999999E-2</v>
      </c>
      <c r="AA130" s="1">
        <v>0</v>
      </c>
      <c r="AB130" s="70" t="s">
        <v>11</v>
      </c>
      <c r="AC130" s="1"/>
      <c r="AD130" s="1"/>
      <c r="AE130" s="1"/>
    </row>
    <row r="131" spans="1:31">
      <c r="A131" s="1"/>
      <c r="B131" s="1"/>
      <c r="C131" s="1"/>
      <c r="D131" s="1"/>
      <c r="E131" s="1"/>
      <c r="F131" s="1"/>
      <c r="G131" s="1"/>
      <c r="H131" s="1"/>
      <c r="K131" s="5"/>
      <c r="L131" s="5"/>
      <c r="R131" s="1"/>
      <c r="S131" s="1"/>
      <c r="T131" s="1"/>
      <c r="U131" s="1"/>
      <c r="V131" s="1"/>
      <c r="W131" s="1"/>
      <c r="X131" s="1"/>
      <c r="Y131" s="68" t="s">
        <v>307</v>
      </c>
      <c r="Z131" s="69">
        <v>0.06</v>
      </c>
      <c r="AA131" s="1">
        <v>317</v>
      </c>
      <c r="AB131" s="70" t="s">
        <v>9</v>
      </c>
      <c r="AC131" s="1"/>
      <c r="AD131" s="1"/>
      <c r="AE131" s="1"/>
    </row>
    <row r="132" spans="1:31">
      <c r="A132" s="1"/>
      <c r="B132" s="1"/>
      <c r="C132" s="1"/>
      <c r="D132" s="1"/>
      <c r="E132" s="1"/>
      <c r="F132" s="1"/>
      <c r="G132" s="1"/>
      <c r="H132" s="1"/>
      <c r="K132" s="5"/>
      <c r="L132" s="5"/>
      <c r="R132" s="1"/>
      <c r="S132" s="1"/>
      <c r="T132" s="1"/>
      <c r="U132" s="1"/>
      <c r="V132" s="1"/>
      <c r="W132" s="1"/>
      <c r="X132" s="1"/>
      <c r="Y132" s="68" t="s">
        <v>369</v>
      </c>
      <c r="Z132" s="69">
        <v>9.5000000000000001E-2</v>
      </c>
      <c r="AA132" s="1">
        <v>513</v>
      </c>
      <c r="AB132" s="70" t="s">
        <v>11</v>
      </c>
      <c r="AC132" s="1"/>
      <c r="AD132" s="1"/>
      <c r="AE132" s="1"/>
    </row>
    <row r="133" spans="1:31">
      <c r="A133" s="1"/>
      <c r="B133" s="1"/>
      <c r="C133" s="1"/>
      <c r="D133" s="1"/>
      <c r="E133" s="1"/>
      <c r="F133" s="1"/>
      <c r="G133" s="1"/>
      <c r="H133" s="1"/>
      <c r="K133" s="5"/>
      <c r="L133" s="5"/>
      <c r="R133" s="1"/>
      <c r="S133" s="1"/>
      <c r="T133" s="1"/>
      <c r="U133" s="1"/>
      <c r="V133" s="1"/>
      <c r="W133" s="1"/>
      <c r="X133" s="1"/>
      <c r="Y133" s="68" t="s">
        <v>370</v>
      </c>
      <c r="Z133" s="69">
        <v>8.5000000000000006E-2</v>
      </c>
      <c r="AA133" s="1">
        <v>513</v>
      </c>
      <c r="AB133" s="70" t="s">
        <v>11</v>
      </c>
      <c r="AC133" s="1"/>
      <c r="AD133" s="1"/>
      <c r="AE133" s="1"/>
    </row>
    <row r="134" spans="1:31">
      <c r="A134" s="1"/>
      <c r="B134" s="1"/>
      <c r="C134" s="1"/>
      <c r="D134" s="1"/>
      <c r="E134" s="1"/>
      <c r="F134" s="1"/>
      <c r="G134" s="1"/>
      <c r="H134" s="1"/>
      <c r="K134" s="5"/>
      <c r="L134" s="5"/>
      <c r="R134" s="1"/>
      <c r="S134" s="1"/>
      <c r="T134" s="1"/>
      <c r="U134" s="1"/>
      <c r="V134" s="1"/>
      <c r="W134" s="1"/>
      <c r="X134" s="1"/>
      <c r="Y134" s="68" t="s">
        <v>371</v>
      </c>
      <c r="Z134" s="69">
        <v>0.08</v>
      </c>
      <c r="AA134" s="1">
        <v>513</v>
      </c>
      <c r="AB134" s="70" t="s">
        <v>11</v>
      </c>
      <c r="AC134" s="1"/>
      <c r="AD134" s="1"/>
      <c r="AE134" s="1"/>
    </row>
    <row r="135" spans="1:31">
      <c r="A135" s="1"/>
      <c r="B135" s="1"/>
      <c r="C135" s="1"/>
      <c r="D135" s="1"/>
      <c r="E135" s="1"/>
      <c r="F135" s="1"/>
      <c r="G135" s="1"/>
      <c r="H135" s="1"/>
      <c r="K135" s="1"/>
      <c r="L135" s="5"/>
      <c r="R135" s="1"/>
      <c r="S135" s="1"/>
      <c r="T135" s="1"/>
      <c r="U135" s="1"/>
      <c r="V135" s="1"/>
      <c r="W135" s="1"/>
      <c r="X135" s="1"/>
      <c r="Y135" s="68" t="s">
        <v>308</v>
      </c>
      <c r="Z135" s="69">
        <v>0.06</v>
      </c>
      <c r="AA135" s="1">
        <v>317</v>
      </c>
      <c r="AB135" s="70" t="s">
        <v>177</v>
      </c>
      <c r="AC135" s="1"/>
      <c r="AD135" s="1"/>
      <c r="AE135" s="1"/>
    </row>
    <row r="136" spans="1:31">
      <c r="A136" s="1"/>
      <c r="B136" s="1"/>
      <c r="C136" s="1"/>
      <c r="D136" s="1"/>
      <c r="E136" s="1"/>
      <c r="F136" s="1"/>
      <c r="G136" s="1"/>
      <c r="H136" s="1"/>
      <c r="K136" s="1"/>
      <c r="L136" s="5"/>
      <c r="R136" s="1"/>
      <c r="S136" s="1"/>
      <c r="T136" s="1"/>
      <c r="U136" s="1"/>
      <c r="V136" s="1"/>
      <c r="W136" s="1"/>
      <c r="X136" s="1"/>
      <c r="Y136" s="68" t="s">
        <v>193</v>
      </c>
      <c r="Z136" s="69">
        <v>3.7499999999999999E-2</v>
      </c>
      <c r="AA136" s="1">
        <v>0</v>
      </c>
      <c r="AB136" s="70" t="s">
        <v>11</v>
      </c>
      <c r="AC136" s="1"/>
      <c r="AD136" s="1"/>
      <c r="AE136" s="1"/>
    </row>
    <row r="137" spans="1:31">
      <c r="A137" s="1"/>
      <c r="B137" s="1"/>
      <c r="C137" s="1"/>
      <c r="D137" s="1"/>
      <c r="E137" s="1"/>
      <c r="F137" s="1"/>
      <c r="G137" s="1"/>
      <c r="H137" s="1"/>
      <c r="K137" s="5"/>
      <c r="L137" s="1"/>
      <c r="R137" s="1"/>
      <c r="S137" s="1"/>
      <c r="T137" s="1"/>
      <c r="U137" s="1"/>
      <c r="V137" s="1"/>
      <c r="W137" s="1"/>
      <c r="X137" s="1"/>
      <c r="Y137" s="68" t="s">
        <v>194</v>
      </c>
      <c r="Z137" s="69">
        <v>3.7499999999999999E-2</v>
      </c>
      <c r="AA137" s="1">
        <v>0</v>
      </c>
      <c r="AB137" s="70" t="s">
        <v>11</v>
      </c>
      <c r="AC137" s="1"/>
      <c r="AD137" s="1"/>
      <c r="AE137" s="1"/>
    </row>
    <row r="138" spans="1:31">
      <c r="A138" s="1"/>
      <c r="B138" s="1"/>
      <c r="C138" s="1"/>
      <c r="D138" s="1"/>
      <c r="E138" s="1"/>
      <c r="F138" s="1"/>
      <c r="G138" s="1"/>
      <c r="H138" s="1"/>
      <c r="K138" s="5"/>
      <c r="L138" s="1"/>
      <c r="R138" s="1"/>
      <c r="S138" s="1"/>
      <c r="T138" s="1"/>
      <c r="U138" s="1"/>
      <c r="V138" s="1"/>
      <c r="W138" s="1"/>
      <c r="X138" s="1"/>
      <c r="Y138" s="68" t="s">
        <v>195</v>
      </c>
      <c r="Z138" s="69">
        <v>3.7499999999999999E-2</v>
      </c>
      <c r="AA138" s="1">
        <v>0</v>
      </c>
      <c r="AB138" s="70" t="s">
        <v>11</v>
      </c>
      <c r="AC138" s="1"/>
      <c r="AD138" s="1"/>
      <c r="AE138" s="1"/>
    </row>
    <row r="139" spans="1:31">
      <c r="A139" s="1"/>
      <c r="B139" s="1"/>
      <c r="C139" s="1"/>
      <c r="D139" s="1"/>
      <c r="E139" s="1"/>
      <c r="F139" s="1"/>
      <c r="G139" s="1"/>
      <c r="H139" s="1"/>
      <c r="K139" s="5"/>
      <c r="L139" s="5"/>
      <c r="R139" s="1"/>
      <c r="S139" s="1"/>
      <c r="T139" s="1"/>
      <c r="U139" s="1"/>
      <c r="V139" s="1"/>
      <c r="W139" s="1"/>
      <c r="X139" s="1"/>
      <c r="Y139" s="68" t="s">
        <v>372</v>
      </c>
      <c r="Z139" s="69">
        <v>0.09</v>
      </c>
      <c r="AA139" s="1">
        <v>513</v>
      </c>
      <c r="AB139" s="70" t="s">
        <v>11</v>
      </c>
      <c r="AC139" s="1"/>
      <c r="AD139" s="1"/>
      <c r="AE139" s="1"/>
    </row>
    <row r="140" spans="1:31">
      <c r="A140" s="1"/>
      <c r="B140" s="1"/>
      <c r="C140" s="1"/>
      <c r="D140" s="1"/>
      <c r="E140" s="1"/>
      <c r="F140" s="1"/>
      <c r="G140" s="1"/>
      <c r="H140" s="1"/>
      <c r="K140" s="5"/>
      <c r="L140" s="5"/>
      <c r="R140" s="1"/>
      <c r="S140" s="1"/>
      <c r="T140" s="1"/>
      <c r="U140" s="1"/>
      <c r="V140" s="1"/>
      <c r="W140" s="1"/>
      <c r="X140" s="1"/>
      <c r="Y140" s="68" t="s">
        <v>373</v>
      </c>
      <c r="Z140" s="69">
        <v>0.09</v>
      </c>
      <c r="AA140" s="1">
        <v>513</v>
      </c>
      <c r="AB140" s="70" t="s">
        <v>11</v>
      </c>
      <c r="AC140" s="1"/>
      <c r="AD140" s="1"/>
      <c r="AE140" s="1"/>
    </row>
    <row r="141" spans="1:31">
      <c r="A141" s="1"/>
      <c r="B141" s="1"/>
      <c r="C141" s="1"/>
      <c r="D141" s="1"/>
      <c r="E141" s="1"/>
      <c r="F141" s="1"/>
      <c r="G141" s="1"/>
      <c r="H141" s="1"/>
      <c r="K141" s="5"/>
      <c r="L141" s="5"/>
      <c r="R141" s="1"/>
      <c r="S141" s="1"/>
      <c r="T141" s="1"/>
      <c r="U141" s="1"/>
      <c r="V141" s="1"/>
      <c r="W141" s="1"/>
      <c r="X141" s="1"/>
      <c r="Y141" s="68" t="s">
        <v>374</v>
      </c>
      <c r="Z141" s="69">
        <v>0.03</v>
      </c>
      <c r="AA141" s="1">
        <v>513</v>
      </c>
      <c r="AB141" s="70" t="s">
        <v>11</v>
      </c>
      <c r="AC141" s="1"/>
      <c r="AD141" s="1"/>
      <c r="AE141" s="1"/>
    </row>
    <row r="142" spans="1:31">
      <c r="A142" s="1"/>
      <c r="B142" s="1"/>
      <c r="C142" s="1"/>
      <c r="D142" s="1"/>
      <c r="E142" s="1"/>
      <c r="F142" s="1"/>
      <c r="G142" s="1"/>
      <c r="H142" s="1"/>
      <c r="K142" s="5"/>
      <c r="L142" s="5"/>
      <c r="R142" s="1"/>
      <c r="S142" s="1"/>
      <c r="T142" s="1"/>
      <c r="U142" s="1"/>
      <c r="V142" s="1"/>
      <c r="W142" s="1"/>
      <c r="X142" s="1"/>
      <c r="Y142" s="68" t="s">
        <v>309</v>
      </c>
      <c r="Z142" s="69">
        <v>7.0000000000000007E-2</v>
      </c>
      <c r="AA142" s="1">
        <v>317</v>
      </c>
      <c r="AB142" s="70" t="s">
        <v>177</v>
      </c>
      <c r="AC142" s="1"/>
      <c r="AD142" s="1"/>
      <c r="AE142" s="1"/>
    </row>
    <row r="143" spans="1:31">
      <c r="A143" s="1"/>
      <c r="B143" s="1"/>
      <c r="C143" s="1"/>
      <c r="D143" s="1"/>
      <c r="E143" s="1"/>
      <c r="F143" s="1"/>
      <c r="G143" s="1"/>
      <c r="H143" s="1"/>
      <c r="K143" s="1"/>
      <c r="L143" s="5"/>
      <c r="R143" s="1"/>
      <c r="S143" s="1"/>
      <c r="T143" s="1"/>
      <c r="U143" s="1"/>
      <c r="V143" s="1"/>
      <c r="W143" s="1"/>
      <c r="X143" s="1"/>
      <c r="Y143" s="68" t="s">
        <v>375</v>
      </c>
      <c r="Z143" s="69">
        <v>0.08</v>
      </c>
      <c r="AA143" s="1">
        <v>513</v>
      </c>
      <c r="AB143" s="70" t="s">
        <v>11</v>
      </c>
      <c r="AC143" s="1"/>
      <c r="AD143" s="1"/>
      <c r="AE143" s="1"/>
    </row>
    <row r="144" spans="1:31">
      <c r="A144" s="1"/>
      <c r="B144" s="1"/>
      <c r="C144" s="1"/>
      <c r="D144" s="1"/>
      <c r="E144" s="1"/>
      <c r="F144" s="1"/>
      <c r="G144" s="1"/>
      <c r="H144" s="1"/>
      <c r="K144" s="1"/>
      <c r="L144" s="5"/>
      <c r="R144" s="1"/>
      <c r="S144" s="1"/>
      <c r="T144" s="1"/>
      <c r="U144" s="1"/>
      <c r="V144" s="1"/>
      <c r="W144" s="1"/>
      <c r="X144" s="1"/>
      <c r="Y144" s="68" t="s">
        <v>310</v>
      </c>
      <c r="Z144" s="69">
        <v>0.11</v>
      </c>
      <c r="AA144" s="1">
        <v>317</v>
      </c>
      <c r="AB144" s="70" t="s">
        <v>177</v>
      </c>
      <c r="AC144" s="1"/>
      <c r="AD144" s="1"/>
      <c r="AE144" s="1"/>
    </row>
    <row r="145" spans="1:31">
      <c r="A145" s="1"/>
      <c r="B145" s="1"/>
      <c r="C145" s="1"/>
      <c r="D145" s="1"/>
      <c r="E145" s="1"/>
      <c r="F145" s="1"/>
      <c r="G145" s="1"/>
      <c r="H145" s="1"/>
      <c r="K145" s="5"/>
      <c r="L145" s="1"/>
      <c r="R145" s="1"/>
      <c r="S145" s="1"/>
      <c r="T145" s="1"/>
      <c r="U145" s="1"/>
      <c r="V145" s="1"/>
      <c r="W145" s="1"/>
      <c r="X145" s="1"/>
      <c r="Y145" s="68" t="s">
        <v>311</v>
      </c>
      <c r="Z145" s="69">
        <v>0.11</v>
      </c>
      <c r="AA145" s="1">
        <v>317</v>
      </c>
      <c r="AB145" s="70" t="s">
        <v>9</v>
      </c>
      <c r="AC145" s="1"/>
      <c r="AD145" s="1"/>
      <c r="AE145" s="1"/>
    </row>
    <row r="146" spans="1:31">
      <c r="A146" s="1"/>
      <c r="B146" s="1"/>
      <c r="C146" s="1"/>
      <c r="D146" s="1"/>
      <c r="E146" s="1"/>
      <c r="F146" s="1"/>
      <c r="G146" s="1"/>
      <c r="H146" s="1"/>
      <c r="K146" s="5"/>
      <c r="L146" s="1"/>
      <c r="R146" s="1"/>
      <c r="S146" s="1"/>
      <c r="T146" s="1"/>
      <c r="U146" s="1"/>
      <c r="V146" s="1"/>
      <c r="W146" s="1"/>
      <c r="X146" s="1"/>
      <c r="Y146" s="68" t="s">
        <v>376</v>
      </c>
      <c r="Z146" s="69">
        <v>0.08</v>
      </c>
      <c r="AA146" s="1">
        <v>513</v>
      </c>
      <c r="AB146" s="70" t="s">
        <v>11</v>
      </c>
      <c r="AC146" s="1"/>
      <c r="AD146" s="1"/>
      <c r="AE146" s="1"/>
    </row>
    <row r="147" spans="1:31">
      <c r="A147" s="1"/>
      <c r="B147" s="1"/>
      <c r="C147" s="1"/>
      <c r="D147" s="1"/>
      <c r="E147" s="1"/>
      <c r="F147" s="1"/>
      <c r="G147" s="1"/>
      <c r="H147" s="1"/>
      <c r="K147" s="5"/>
      <c r="L147" s="5"/>
      <c r="R147" s="1"/>
      <c r="S147" s="1"/>
      <c r="T147" s="1"/>
      <c r="U147" s="1"/>
      <c r="V147" s="1"/>
      <c r="W147" s="1"/>
      <c r="X147" s="1"/>
      <c r="Y147" s="68" t="s">
        <v>487</v>
      </c>
      <c r="Z147" s="69">
        <v>0.08</v>
      </c>
      <c r="AA147" s="1">
        <v>513</v>
      </c>
      <c r="AB147" s="70" t="s">
        <v>11</v>
      </c>
      <c r="AC147" s="1"/>
      <c r="AD147" s="1"/>
      <c r="AE147" s="1"/>
    </row>
    <row r="148" spans="1:31">
      <c r="A148" s="1"/>
      <c r="B148" s="1"/>
      <c r="C148" s="1"/>
      <c r="D148" s="1"/>
      <c r="E148" s="1"/>
      <c r="F148" s="1"/>
      <c r="G148" s="1"/>
      <c r="H148" s="1"/>
      <c r="K148" s="5"/>
      <c r="L148" s="5"/>
      <c r="R148" s="1"/>
      <c r="S148" s="1"/>
      <c r="T148" s="1"/>
      <c r="U148" s="1"/>
      <c r="V148" s="1"/>
      <c r="W148" s="1"/>
      <c r="X148" s="1"/>
      <c r="Y148" s="68" t="s">
        <v>196</v>
      </c>
      <c r="Z148" s="69">
        <v>3.7499999999999999E-2</v>
      </c>
      <c r="AA148" s="1">
        <v>0</v>
      </c>
      <c r="AB148" s="70" t="s">
        <v>11</v>
      </c>
      <c r="AC148" s="1"/>
      <c r="AD148" s="1"/>
      <c r="AE148" s="1"/>
    </row>
    <row r="149" spans="1:31">
      <c r="A149" s="1"/>
      <c r="B149" s="1"/>
      <c r="C149" s="1"/>
      <c r="D149" s="1"/>
      <c r="E149" s="1"/>
      <c r="F149" s="1"/>
      <c r="G149" s="1"/>
      <c r="H149" s="1"/>
      <c r="K149" s="5"/>
      <c r="L149" s="5"/>
      <c r="R149" s="1"/>
      <c r="S149" s="1"/>
      <c r="T149" s="1"/>
      <c r="U149" s="1"/>
      <c r="V149" s="1"/>
      <c r="W149" s="1"/>
      <c r="X149" s="1"/>
      <c r="Y149" s="68" t="s">
        <v>197</v>
      </c>
      <c r="Z149" s="69">
        <v>3.7499999999999999E-2</v>
      </c>
      <c r="AA149" s="1">
        <v>0</v>
      </c>
      <c r="AB149" s="70" t="s">
        <v>11</v>
      </c>
      <c r="AC149" s="1"/>
      <c r="AD149" s="1"/>
      <c r="AE149" s="1"/>
    </row>
    <row r="150" spans="1:31">
      <c r="A150" s="1"/>
      <c r="B150" s="1"/>
      <c r="C150" s="1"/>
      <c r="D150" s="1"/>
      <c r="E150" s="1"/>
      <c r="F150" s="1"/>
      <c r="G150" s="1"/>
      <c r="H150" s="1"/>
      <c r="K150" s="5"/>
      <c r="L150" s="5"/>
      <c r="R150" s="1"/>
      <c r="S150" s="1"/>
      <c r="T150" s="1"/>
      <c r="U150" s="1"/>
      <c r="V150" s="1"/>
      <c r="W150" s="1"/>
      <c r="X150" s="1"/>
      <c r="Y150" s="68" t="s">
        <v>377</v>
      </c>
      <c r="Z150" s="69">
        <v>0.1</v>
      </c>
      <c r="AA150" s="1">
        <v>513</v>
      </c>
      <c r="AB150" s="70" t="s">
        <v>11</v>
      </c>
      <c r="AC150" s="1"/>
      <c r="AD150" s="1"/>
      <c r="AE150" s="1"/>
    </row>
    <row r="151" spans="1:31">
      <c r="A151" s="1"/>
      <c r="B151" s="1"/>
      <c r="C151" s="1"/>
      <c r="D151" s="1"/>
      <c r="E151" s="1"/>
      <c r="F151" s="1"/>
      <c r="G151" s="1"/>
      <c r="H151" s="1"/>
      <c r="K151" s="1"/>
      <c r="L151" s="5"/>
      <c r="R151" s="1"/>
      <c r="S151" s="1"/>
      <c r="T151" s="1"/>
      <c r="U151" s="1"/>
      <c r="V151" s="1"/>
      <c r="W151" s="1"/>
      <c r="X151" s="1"/>
      <c r="Y151" s="68" t="s">
        <v>312</v>
      </c>
      <c r="Z151" s="69">
        <v>0.08</v>
      </c>
      <c r="AA151" s="1">
        <v>0</v>
      </c>
      <c r="AB151" s="70" t="s">
        <v>177</v>
      </c>
      <c r="AC151" s="1"/>
      <c r="AD151" s="1"/>
      <c r="AE151" s="1"/>
    </row>
    <row r="152" spans="1:3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5"/>
      <c r="R152" s="1"/>
      <c r="S152" s="1"/>
      <c r="T152" s="1"/>
      <c r="U152" s="1"/>
      <c r="V152" s="1"/>
      <c r="W152" s="1"/>
      <c r="X152" s="1"/>
      <c r="Y152" s="68" t="s">
        <v>378</v>
      </c>
      <c r="Z152" s="69">
        <v>0.08</v>
      </c>
      <c r="AA152" s="1">
        <v>513</v>
      </c>
      <c r="AB152" s="70" t="s">
        <v>11</v>
      </c>
      <c r="AC152" s="1"/>
      <c r="AD152" s="1"/>
      <c r="AE152" s="1"/>
    </row>
    <row r="153" spans="1:3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5"/>
      <c r="L153" s="1"/>
      <c r="R153" s="1"/>
      <c r="S153" s="1"/>
      <c r="T153" s="1"/>
      <c r="U153" s="1"/>
      <c r="V153" s="1"/>
      <c r="W153" s="1"/>
      <c r="X153" s="1"/>
      <c r="Y153" s="68" t="s">
        <v>379</v>
      </c>
      <c r="Z153" s="69">
        <v>0.1</v>
      </c>
      <c r="AA153" s="1">
        <v>513</v>
      </c>
      <c r="AB153" s="70" t="s">
        <v>11</v>
      </c>
      <c r="AC153" s="1"/>
      <c r="AD153" s="1"/>
      <c r="AE153" s="1"/>
    </row>
    <row r="154" spans="1:3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5"/>
      <c r="L154" s="1"/>
      <c r="R154" s="1"/>
      <c r="S154" s="1"/>
      <c r="T154" s="1"/>
      <c r="U154" s="1"/>
      <c r="V154" s="1"/>
      <c r="W154" s="1"/>
      <c r="X154" s="1"/>
      <c r="Y154" s="68" t="s">
        <v>380</v>
      </c>
      <c r="Z154" s="69">
        <v>0.05</v>
      </c>
      <c r="AA154" s="1">
        <v>513</v>
      </c>
      <c r="AB154" s="70" t="s">
        <v>11</v>
      </c>
      <c r="AC154" s="1"/>
      <c r="AD154" s="1"/>
      <c r="AE154" s="1"/>
    </row>
    <row r="155" spans="1:3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5"/>
      <c r="L155" s="5"/>
      <c r="R155" s="1"/>
      <c r="S155" s="1"/>
      <c r="T155" s="1"/>
      <c r="U155" s="1"/>
      <c r="V155" s="1"/>
      <c r="W155" s="1"/>
      <c r="X155" s="1"/>
      <c r="Y155" s="68" t="s">
        <v>198</v>
      </c>
      <c r="Z155" s="69">
        <v>3.7499999999999999E-2</v>
      </c>
      <c r="AA155" s="1">
        <v>0</v>
      </c>
      <c r="AB155" s="70" t="s">
        <v>11</v>
      </c>
      <c r="AC155" s="1"/>
      <c r="AD155" s="1"/>
      <c r="AE155" s="1"/>
    </row>
    <row r="156" spans="1:3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5"/>
      <c r="L156" s="5"/>
      <c r="R156" s="1"/>
      <c r="S156" s="1"/>
      <c r="T156" s="1"/>
      <c r="U156" s="1"/>
      <c r="V156" s="1"/>
      <c r="W156" s="1"/>
      <c r="X156" s="1"/>
      <c r="Y156" s="68" t="s">
        <v>199</v>
      </c>
      <c r="Z156" s="69">
        <v>0</v>
      </c>
      <c r="AA156" s="1">
        <v>0</v>
      </c>
      <c r="AB156" s="70" t="s">
        <v>11</v>
      </c>
      <c r="AC156" s="1"/>
      <c r="AD156" s="1"/>
      <c r="AE156" s="1"/>
    </row>
    <row r="157" spans="1:3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5"/>
      <c r="L157" s="5"/>
      <c r="R157" s="1"/>
      <c r="S157" s="1"/>
      <c r="T157" s="1"/>
      <c r="U157" s="1"/>
      <c r="V157" s="1"/>
      <c r="W157" s="1"/>
      <c r="X157" s="1"/>
      <c r="Y157" s="68" t="s">
        <v>250</v>
      </c>
      <c r="Z157" s="69">
        <v>0.08</v>
      </c>
      <c r="AA157" s="1">
        <v>238</v>
      </c>
      <c r="AB157" s="70" t="s">
        <v>9</v>
      </c>
      <c r="AC157" s="1"/>
      <c r="AD157" s="1"/>
      <c r="AE157" s="1"/>
    </row>
    <row r="158" spans="1:3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5"/>
      <c r="L158" s="5"/>
      <c r="R158" s="1"/>
      <c r="S158" s="1"/>
      <c r="T158" s="1"/>
      <c r="U158" s="1"/>
      <c r="V158" s="1"/>
      <c r="W158" s="1"/>
      <c r="X158" s="1"/>
      <c r="Y158" s="68" t="s">
        <v>251</v>
      </c>
      <c r="Z158" s="69">
        <v>0.08</v>
      </c>
      <c r="AA158" s="1">
        <v>238</v>
      </c>
      <c r="AB158" s="70" t="s">
        <v>177</v>
      </c>
      <c r="AC158" s="1"/>
      <c r="AD158" s="1"/>
      <c r="AE158" s="1"/>
    </row>
    <row r="159" spans="1:3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5"/>
      <c r="R159" s="1"/>
      <c r="S159" s="1"/>
      <c r="T159" s="1"/>
      <c r="U159" s="1"/>
      <c r="V159" s="1"/>
      <c r="W159" s="1"/>
      <c r="X159" s="1"/>
      <c r="Y159" s="68" t="s">
        <v>252</v>
      </c>
      <c r="Z159" s="69">
        <v>0.08</v>
      </c>
      <c r="AA159" s="1">
        <v>238</v>
      </c>
      <c r="AB159" s="70" t="s">
        <v>9</v>
      </c>
      <c r="AC159" s="1"/>
      <c r="AD159" s="1"/>
      <c r="AE159" s="1"/>
    </row>
    <row r="160" spans="1:3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5"/>
      <c r="R160" s="1"/>
      <c r="S160" s="1"/>
      <c r="T160" s="1"/>
      <c r="U160" s="1"/>
      <c r="V160" s="1"/>
      <c r="W160" s="1"/>
      <c r="X160" s="1"/>
      <c r="Y160" s="68" t="s">
        <v>253</v>
      </c>
      <c r="Z160" s="69">
        <v>0.08</v>
      </c>
      <c r="AA160" s="1">
        <v>238</v>
      </c>
      <c r="AB160" s="70" t="s">
        <v>177</v>
      </c>
      <c r="AC160" s="1"/>
      <c r="AD160" s="1"/>
      <c r="AE160" s="1"/>
    </row>
    <row r="161" spans="1:3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5"/>
      <c r="L161" s="1"/>
      <c r="R161" s="1"/>
      <c r="S161" s="1"/>
      <c r="T161" s="1"/>
      <c r="U161" s="1"/>
      <c r="V161" s="1"/>
      <c r="W161" s="1"/>
      <c r="X161" s="1"/>
      <c r="Y161" s="68" t="s">
        <v>254</v>
      </c>
      <c r="Z161" s="69">
        <v>0.08</v>
      </c>
      <c r="AA161" s="1">
        <v>238</v>
      </c>
      <c r="AB161" s="70" t="s">
        <v>9</v>
      </c>
      <c r="AC161" s="1"/>
      <c r="AD161" s="1"/>
      <c r="AE161" s="1"/>
    </row>
    <row r="162" spans="1:3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5"/>
      <c r="L162" s="1"/>
      <c r="R162" s="1"/>
      <c r="S162" s="1"/>
      <c r="T162" s="1"/>
      <c r="U162" s="1"/>
      <c r="V162" s="1"/>
      <c r="W162" s="1"/>
      <c r="X162" s="1"/>
      <c r="Y162" s="68" t="s">
        <v>457</v>
      </c>
      <c r="Z162" s="69">
        <v>0.13</v>
      </c>
      <c r="AA162" s="1">
        <v>863</v>
      </c>
      <c r="AB162" s="70" t="s">
        <v>177</v>
      </c>
      <c r="AC162" s="1"/>
      <c r="AD162" s="1"/>
      <c r="AE162" s="1"/>
    </row>
    <row r="163" spans="1:3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5"/>
      <c r="L163" s="5"/>
      <c r="R163" s="1"/>
      <c r="S163" s="1"/>
      <c r="T163" s="1"/>
      <c r="U163" s="1"/>
      <c r="V163" s="1"/>
      <c r="W163" s="1"/>
      <c r="X163" s="1"/>
      <c r="Y163" s="68" t="s">
        <v>458</v>
      </c>
      <c r="Z163" s="69">
        <v>0.08</v>
      </c>
      <c r="AA163" s="1">
        <v>863</v>
      </c>
      <c r="AB163" s="70" t="s">
        <v>9</v>
      </c>
      <c r="AC163" s="1"/>
      <c r="AD163" s="1"/>
      <c r="AE163" s="1"/>
    </row>
    <row r="164" spans="1:3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5"/>
      <c r="L164" s="5"/>
      <c r="R164" s="1"/>
      <c r="S164" s="1"/>
      <c r="T164" s="1"/>
      <c r="U164" s="1"/>
      <c r="V164" s="1"/>
      <c r="W164" s="1"/>
      <c r="X164" s="1"/>
      <c r="Y164" s="68" t="s">
        <v>381</v>
      </c>
      <c r="Z164" s="69">
        <v>0.08</v>
      </c>
      <c r="AA164" s="1">
        <v>513</v>
      </c>
      <c r="AB164" s="70" t="s">
        <v>177</v>
      </c>
      <c r="AC164" s="1"/>
      <c r="AD164" s="1"/>
      <c r="AE164" s="1"/>
    </row>
    <row r="165" spans="1:3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5"/>
      <c r="L165" s="5"/>
      <c r="R165" s="1"/>
      <c r="S165" s="1"/>
      <c r="T165" s="1"/>
      <c r="U165" s="1"/>
      <c r="V165" s="1"/>
      <c r="W165" s="1"/>
      <c r="X165" s="1"/>
      <c r="Y165" s="68" t="s">
        <v>382</v>
      </c>
      <c r="Z165" s="69">
        <v>0.08</v>
      </c>
      <c r="AA165" s="1">
        <v>513</v>
      </c>
      <c r="AB165" s="70" t="s">
        <v>9</v>
      </c>
      <c r="AC165" s="1"/>
      <c r="AD165" s="1"/>
      <c r="AE165" s="1"/>
    </row>
    <row r="166" spans="1:3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5"/>
      <c r="L166" s="5"/>
      <c r="R166" s="1"/>
      <c r="S166" s="1"/>
      <c r="T166" s="1"/>
      <c r="U166" s="1"/>
      <c r="V166" s="1"/>
      <c r="W166" s="1"/>
      <c r="X166" s="1"/>
      <c r="Y166" s="68" t="s">
        <v>383</v>
      </c>
      <c r="Z166" s="69">
        <v>0.06</v>
      </c>
      <c r="AA166" s="1">
        <v>513</v>
      </c>
      <c r="AB166" s="70" t="s">
        <v>177</v>
      </c>
      <c r="AC166" s="1"/>
      <c r="AD166" s="1"/>
      <c r="AE166" s="1"/>
    </row>
    <row r="167" spans="1:3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5"/>
      <c r="R167" s="1"/>
      <c r="S167" s="1"/>
      <c r="T167" s="1"/>
      <c r="U167" s="1"/>
      <c r="V167" s="1"/>
      <c r="W167" s="1"/>
      <c r="X167" s="1"/>
      <c r="Y167" s="68" t="s">
        <v>384</v>
      </c>
      <c r="Z167" s="69">
        <v>0.15</v>
      </c>
      <c r="AA167" s="1">
        <v>863</v>
      </c>
      <c r="AB167" s="70" t="s">
        <v>9</v>
      </c>
      <c r="AC167" s="1"/>
      <c r="AD167" s="1"/>
      <c r="AE167" s="1"/>
    </row>
    <row r="168" spans="1:3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5"/>
      <c r="R168" s="1"/>
      <c r="S168" s="1"/>
      <c r="T168" s="1"/>
      <c r="U168" s="1"/>
      <c r="V168" s="1"/>
      <c r="W168" s="1"/>
      <c r="X168" s="1"/>
      <c r="Y168" s="68" t="s">
        <v>385</v>
      </c>
      <c r="Z168" s="69">
        <v>0.13</v>
      </c>
      <c r="AA168" s="1">
        <v>513</v>
      </c>
      <c r="AB168" s="70" t="s">
        <v>177</v>
      </c>
      <c r="AC168" s="1"/>
      <c r="AD168" s="1"/>
      <c r="AE168" s="1"/>
    </row>
    <row r="169" spans="1:3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5"/>
      <c r="L169" s="1"/>
      <c r="R169" s="1"/>
      <c r="S169" s="1"/>
      <c r="T169" s="1"/>
      <c r="U169" s="1"/>
      <c r="V169" s="1"/>
      <c r="W169" s="1"/>
      <c r="X169" s="1"/>
      <c r="Y169" s="68" t="s">
        <v>386</v>
      </c>
      <c r="Z169" s="69">
        <v>0.13</v>
      </c>
      <c r="AA169" s="1">
        <v>513</v>
      </c>
      <c r="AB169" s="70" t="s">
        <v>9</v>
      </c>
      <c r="AC169" s="1"/>
      <c r="AD169" s="1"/>
      <c r="AE169" s="1"/>
    </row>
    <row r="170" spans="1:3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5"/>
      <c r="L170" s="1"/>
      <c r="R170" s="1"/>
      <c r="S170" s="1"/>
      <c r="T170" s="1"/>
      <c r="U170" s="1"/>
      <c r="V170" s="1"/>
      <c r="W170" s="1"/>
      <c r="X170" s="1"/>
      <c r="Y170" s="68" t="s">
        <v>387</v>
      </c>
      <c r="Z170" s="69">
        <v>0.13</v>
      </c>
      <c r="AA170" s="1">
        <v>513</v>
      </c>
      <c r="AB170" s="70" t="s">
        <v>177</v>
      </c>
      <c r="AC170" s="1"/>
      <c r="AD170" s="1"/>
      <c r="AE170" s="1"/>
    </row>
    <row r="171" spans="1:3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5"/>
      <c r="L171" s="5"/>
      <c r="R171" s="1"/>
      <c r="S171" s="1"/>
      <c r="T171" s="1"/>
      <c r="U171" s="1"/>
      <c r="V171" s="1"/>
      <c r="W171" s="1"/>
      <c r="X171" s="1"/>
      <c r="Y171" s="68" t="s">
        <v>388</v>
      </c>
      <c r="Z171" s="69">
        <v>0.13</v>
      </c>
      <c r="AA171" s="1">
        <v>513</v>
      </c>
      <c r="AB171" s="70" t="s">
        <v>9</v>
      </c>
      <c r="AC171" s="1"/>
      <c r="AD171" s="1"/>
      <c r="AE171" s="1"/>
    </row>
    <row r="172" spans="1:3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5"/>
      <c r="L172" s="5"/>
      <c r="R172" s="1"/>
      <c r="S172" s="1"/>
      <c r="T172" s="1"/>
      <c r="U172" s="1"/>
      <c r="V172" s="1"/>
      <c r="W172" s="1"/>
      <c r="X172" s="1"/>
      <c r="Y172" s="68" t="s">
        <v>389</v>
      </c>
      <c r="Z172" s="69">
        <v>0.13</v>
      </c>
      <c r="AA172" s="1">
        <v>513</v>
      </c>
      <c r="AB172" s="70" t="s">
        <v>177</v>
      </c>
      <c r="AC172" s="1"/>
      <c r="AD172" s="1"/>
      <c r="AE172" s="1"/>
    </row>
    <row r="173" spans="1:3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5"/>
      <c r="L173" s="5"/>
      <c r="R173" s="1"/>
      <c r="S173" s="1"/>
      <c r="T173" s="1"/>
      <c r="U173" s="1"/>
      <c r="V173" s="1"/>
      <c r="W173" s="1"/>
      <c r="X173" s="1"/>
      <c r="Y173" s="68" t="s">
        <v>390</v>
      </c>
      <c r="Z173" s="69">
        <v>0.13</v>
      </c>
      <c r="AA173" s="1">
        <v>513</v>
      </c>
      <c r="AB173" s="70" t="s">
        <v>9</v>
      </c>
      <c r="AC173" s="1"/>
      <c r="AD173" s="1"/>
      <c r="AE173" s="1"/>
    </row>
    <row r="174" spans="1:3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5"/>
      <c r="L174" s="5"/>
      <c r="R174" s="1"/>
      <c r="S174" s="1"/>
      <c r="T174" s="1"/>
      <c r="U174" s="1"/>
      <c r="V174" s="1"/>
      <c r="W174" s="1"/>
      <c r="X174" s="1"/>
      <c r="Y174" s="68" t="s">
        <v>459</v>
      </c>
      <c r="Z174" s="69">
        <v>0.13</v>
      </c>
      <c r="AA174" s="1">
        <v>863</v>
      </c>
      <c r="AB174" s="70" t="s">
        <v>177</v>
      </c>
      <c r="AC174" s="1"/>
      <c r="AD174" s="1"/>
      <c r="AE174" s="1"/>
    </row>
    <row r="175" spans="1:3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5"/>
      <c r="R175" s="1"/>
      <c r="S175" s="1"/>
      <c r="T175" s="1"/>
      <c r="U175" s="1"/>
      <c r="V175" s="1"/>
      <c r="W175" s="1"/>
      <c r="X175" s="1"/>
      <c r="Y175" s="68" t="s">
        <v>460</v>
      </c>
      <c r="Z175" s="69">
        <v>0.13</v>
      </c>
      <c r="AA175" s="1">
        <v>863</v>
      </c>
      <c r="AB175" s="70" t="s">
        <v>9</v>
      </c>
      <c r="AC175" s="1"/>
      <c r="AD175" s="1"/>
      <c r="AE175" s="1"/>
    </row>
    <row r="176" spans="1:3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5"/>
      <c r="R176" s="1"/>
      <c r="S176" s="1"/>
      <c r="T176" s="1"/>
      <c r="U176" s="1"/>
      <c r="V176" s="1"/>
      <c r="W176" s="1"/>
      <c r="X176" s="1"/>
      <c r="Y176" s="68" t="s">
        <v>391</v>
      </c>
      <c r="Z176" s="69">
        <v>0.06</v>
      </c>
      <c r="AA176" s="1">
        <v>513</v>
      </c>
      <c r="AB176" s="70" t="s">
        <v>177</v>
      </c>
      <c r="AC176" s="1"/>
      <c r="AD176" s="1"/>
      <c r="AE176" s="1"/>
    </row>
    <row r="177" spans="1:3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R177" s="1"/>
      <c r="S177" s="1"/>
      <c r="T177" s="1"/>
      <c r="U177" s="1"/>
      <c r="V177" s="1"/>
      <c r="W177" s="1"/>
      <c r="X177" s="1"/>
      <c r="Y177" s="68" t="s">
        <v>392</v>
      </c>
      <c r="Z177" s="69">
        <v>0.06</v>
      </c>
      <c r="AA177" s="1">
        <v>513</v>
      </c>
      <c r="AB177" s="70" t="s">
        <v>9</v>
      </c>
      <c r="AC177" s="1"/>
      <c r="AD177" s="1"/>
      <c r="AE177" s="1"/>
    </row>
    <row r="178" spans="1:3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R178" s="1"/>
      <c r="S178" s="1"/>
      <c r="T178" s="1"/>
      <c r="U178" s="1"/>
      <c r="V178" s="1"/>
      <c r="W178" s="1"/>
      <c r="X178" s="1"/>
      <c r="Y178" s="68" t="s">
        <v>393</v>
      </c>
      <c r="Z178" s="69">
        <v>0.15</v>
      </c>
      <c r="AA178" s="1">
        <v>513</v>
      </c>
      <c r="AB178" s="70" t="s">
        <v>9</v>
      </c>
      <c r="AC178" s="1"/>
      <c r="AD178" s="1"/>
      <c r="AE178" s="1"/>
    </row>
    <row r="179" spans="1:3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R179" s="1"/>
      <c r="S179" s="1"/>
      <c r="T179" s="1"/>
      <c r="U179" s="1"/>
      <c r="V179" s="1"/>
      <c r="W179" s="1"/>
      <c r="X179" s="1"/>
      <c r="Y179" s="68" t="s">
        <v>394</v>
      </c>
      <c r="Z179" s="69">
        <v>0.06</v>
      </c>
      <c r="AA179" s="1">
        <v>513</v>
      </c>
      <c r="AB179" s="70" t="s">
        <v>9</v>
      </c>
      <c r="AC179" s="1"/>
      <c r="AD179" s="1"/>
      <c r="AE179" s="1"/>
    </row>
    <row r="180" spans="1:3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R180" s="1"/>
      <c r="S180" s="1"/>
      <c r="T180" s="1"/>
      <c r="U180" s="1"/>
      <c r="V180" s="1"/>
      <c r="W180" s="1"/>
      <c r="X180" s="1"/>
      <c r="Y180" s="68" t="s">
        <v>805</v>
      </c>
      <c r="Z180" s="69">
        <v>0.14000000000000001</v>
      </c>
      <c r="AA180" s="1">
        <v>513</v>
      </c>
      <c r="AB180" s="70" t="s">
        <v>9</v>
      </c>
      <c r="AC180" s="1"/>
      <c r="AD180" s="1"/>
      <c r="AE180" s="1"/>
    </row>
    <row r="181" spans="1:3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R181" s="1"/>
      <c r="S181" s="1"/>
      <c r="T181" s="1"/>
      <c r="U181" s="1"/>
      <c r="V181" s="1"/>
      <c r="W181" s="1"/>
      <c r="X181" s="1"/>
      <c r="Y181" s="68" t="s">
        <v>806</v>
      </c>
      <c r="Z181" s="69">
        <v>0.15</v>
      </c>
      <c r="AA181" s="1">
        <v>513</v>
      </c>
      <c r="AB181" s="70" t="s">
        <v>9</v>
      </c>
      <c r="AC181" s="1"/>
      <c r="AD181" s="1"/>
      <c r="AE181" s="1"/>
    </row>
    <row r="182" spans="1:3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R182" s="1"/>
      <c r="S182" s="1"/>
      <c r="T182" s="1"/>
      <c r="U182" s="1"/>
      <c r="V182" s="1"/>
      <c r="W182" s="1"/>
      <c r="X182" s="1"/>
      <c r="Y182" s="68" t="s">
        <v>395</v>
      </c>
      <c r="Z182" s="69">
        <v>0.13</v>
      </c>
      <c r="AA182" s="1">
        <v>513</v>
      </c>
      <c r="AB182" s="70" t="s">
        <v>9</v>
      </c>
      <c r="AC182" s="1"/>
      <c r="AD182" s="1"/>
      <c r="AE182" s="1"/>
    </row>
    <row r="183" spans="1:3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R183" s="1"/>
      <c r="S183" s="1"/>
      <c r="T183" s="1"/>
      <c r="U183" s="1"/>
      <c r="V183" s="1"/>
      <c r="W183" s="1"/>
      <c r="X183" s="1"/>
      <c r="Y183" s="68" t="s">
        <v>461</v>
      </c>
      <c r="Z183" s="69">
        <v>0.11</v>
      </c>
      <c r="AA183" s="1">
        <v>863</v>
      </c>
      <c r="AB183" s="70" t="s">
        <v>177</v>
      </c>
      <c r="AC183" s="1"/>
      <c r="AD183" s="1"/>
      <c r="AE183" s="1"/>
    </row>
    <row r="184" spans="1:3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R184" s="1"/>
      <c r="S184" s="1"/>
      <c r="T184" s="1"/>
      <c r="U184" s="1"/>
      <c r="V184" s="1"/>
      <c r="W184" s="1"/>
      <c r="X184" s="1"/>
      <c r="Y184" s="68" t="s">
        <v>462</v>
      </c>
      <c r="Z184" s="69">
        <v>0.13</v>
      </c>
      <c r="AA184" s="1">
        <v>863</v>
      </c>
      <c r="AB184" s="70" t="s">
        <v>9</v>
      </c>
      <c r="AC184" s="1"/>
      <c r="AD184" s="1"/>
      <c r="AE184" s="1"/>
    </row>
    <row r="185" spans="1:3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R185" s="1"/>
      <c r="S185" s="1"/>
      <c r="T185" s="1"/>
      <c r="U185" s="1"/>
      <c r="V185" s="1"/>
      <c r="W185" s="1"/>
      <c r="X185" s="1"/>
      <c r="Y185" s="68" t="s">
        <v>396</v>
      </c>
      <c r="Z185" s="69">
        <v>0.11</v>
      </c>
      <c r="AA185" s="1">
        <v>513</v>
      </c>
      <c r="AB185" s="70" t="s">
        <v>177</v>
      </c>
      <c r="AC185" s="1"/>
      <c r="AD185" s="1"/>
      <c r="AE185" s="1"/>
    </row>
    <row r="186" spans="1:3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R186" s="1"/>
      <c r="S186" s="1"/>
      <c r="T186" s="1"/>
      <c r="U186" s="1"/>
      <c r="V186" s="1"/>
      <c r="W186" s="1"/>
      <c r="X186" s="1"/>
      <c r="Y186" s="68" t="s">
        <v>463</v>
      </c>
      <c r="Z186" s="69">
        <v>0.125</v>
      </c>
      <c r="AA186" s="1">
        <v>863</v>
      </c>
      <c r="AB186" s="70" t="s">
        <v>9</v>
      </c>
      <c r="AC186" s="1"/>
      <c r="AD186" s="1"/>
      <c r="AE186" s="1"/>
    </row>
    <row r="187" spans="1:3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R187" s="1"/>
      <c r="S187" s="1"/>
      <c r="T187" s="1"/>
      <c r="U187" s="1"/>
      <c r="V187" s="1"/>
      <c r="W187" s="1"/>
      <c r="X187" s="1"/>
      <c r="Y187" s="68" t="s">
        <v>464</v>
      </c>
      <c r="Z187" s="69">
        <v>0.125</v>
      </c>
      <c r="AA187" s="1">
        <v>863</v>
      </c>
      <c r="AB187" s="70" t="s">
        <v>177</v>
      </c>
      <c r="AC187" s="1"/>
      <c r="AD187" s="1"/>
      <c r="AE187" s="1"/>
    </row>
    <row r="188" spans="1:3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R188" s="1"/>
      <c r="S188" s="1"/>
      <c r="T188" s="1"/>
      <c r="U188" s="1"/>
      <c r="V188" s="1"/>
      <c r="W188" s="1"/>
      <c r="X188" s="1"/>
      <c r="Y188" s="68" t="s">
        <v>255</v>
      </c>
      <c r="Z188" s="69">
        <v>0.08</v>
      </c>
      <c r="AA188" s="1">
        <v>238</v>
      </c>
      <c r="AB188" s="70" t="s">
        <v>9</v>
      </c>
      <c r="AC188" s="1"/>
      <c r="AD188" s="1"/>
      <c r="AE188" s="1"/>
    </row>
    <row r="189" spans="1:3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R189" s="1"/>
      <c r="S189" s="1"/>
      <c r="T189" s="1"/>
      <c r="U189" s="1"/>
      <c r="V189" s="1"/>
      <c r="W189" s="1"/>
      <c r="X189" s="1"/>
      <c r="Y189" s="68" t="s">
        <v>256</v>
      </c>
      <c r="Z189" s="69">
        <v>0.08</v>
      </c>
      <c r="AA189" s="1">
        <v>317</v>
      </c>
      <c r="AB189" s="70" t="s">
        <v>177</v>
      </c>
      <c r="AC189" s="1"/>
      <c r="AD189" s="1"/>
      <c r="AE189" s="1"/>
    </row>
    <row r="190" spans="1:3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R190" s="1"/>
      <c r="S190" s="1"/>
      <c r="T190" s="1"/>
      <c r="U190" s="1"/>
      <c r="V190" s="1"/>
      <c r="W190" s="1"/>
      <c r="X190" s="1"/>
      <c r="Y190" s="68" t="s">
        <v>313</v>
      </c>
      <c r="Z190" s="69">
        <v>0.01</v>
      </c>
      <c r="AA190" s="1">
        <v>317</v>
      </c>
      <c r="AB190" s="70" t="s">
        <v>9</v>
      </c>
      <c r="AC190" s="1"/>
      <c r="AD190" s="1"/>
      <c r="AE190" s="1"/>
    </row>
    <row r="191" spans="1:3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R191" s="1"/>
      <c r="S191" s="1"/>
      <c r="T191" s="1"/>
      <c r="U191" s="1"/>
      <c r="V191" s="1"/>
      <c r="W191" s="1"/>
      <c r="X191" s="1"/>
      <c r="Y191" s="68" t="s">
        <v>314</v>
      </c>
      <c r="Z191" s="69">
        <v>0.01</v>
      </c>
      <c r="AA191" s="1">
        <v>317</v>
      </c>
      <c r="AB191" s="70" t="s">
        <v>177</v>
      </c>
      <c r="AC191" s="1"/>
      <c r="AD191" s="1"/>
      <c r="AE191" s="1"/>
    </row>
    <row r="192" spans="1:3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R192" s="1"/>
      <c r="S192" s="1"/>
      <c r="T192" s="1"/>
      <c r="U192" s="1"/>
      <c r="V192" s="1"/>
      <c r="W192" s="1"/>
      <c r="X192" s="1"/>
      <c r="Y192" s="68" t="s">
        <v>315</v>
      </c>
      <c r="Z192" s="69">
        <v>0.115</v>
      </c>
      <c r="AA192" s="1">
        <v>317</v>
      </c>
      <c r="AB192" s="70" t="s">
        <v>9</v>
      </c>
      <c r="AC192" s="1"/>
      <c r="AD192" s="1"/>
      <c r="AE192" s="1"/>
    </row>
    <row r="193" spans="1:3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R193" s="1"/>
      <c r="S193" s="1"/>
      <c r="T193" s="1"/>
      <c r="U193" s="1"/>
      <c r="V193" s="1"/>
      <c r="W193" s="1"/>
      <c r="X193" s="1"/>
      <c r="Y193" s="68" t="s">
        <v>316</v>
      </c>
      <c r="Z193" s="69">
        <v>0.11</v>
      </c>
      <c r="AA193" s="1">
        <v>317</v>
      </c>
      <c r="AB193" s="70" t="s">
        <v>177</v>
      </c>
      <c r="AC193" s="1"/>
      <c r="AD193" s="1"/>
      <c r="AE193" s="1"/>
    </row>
    <row r="194" spans="1:3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R194" s="1"/>
      <c r="S194" s="1"/>
      <c r="T194" s="1"/>
      <c r="U194" s="1"/>
      <c r="V194" s="1"/>
      <c r="W194" s="1"/>
      <c r="X194" s="1"/>
      <c r="Y194" s="68" t="s">
        <v>317</v>
      </c>
      <c r="Z194" s="69">
        <v>0.11</v>
      </c>
      <c r="AA194" s="1">
        <v>317</v>
      </c>
      <c r="AB194" s="70" t="s">
        <v>9</v>
      </c>
      <c r="AC194" s="1"/>
      <c r="AD194" s="1"/>
      <c r="AE194" s="1"/>
    </row>
    <row r="195" spans="1:3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R195" s="1"/>
      <c r="S195" s="1"/>
      <c r="T195" s="1"/>
      <c r="U195" s="1"/>
      <c r="V195" s="1"/>
      <c r="W195" s="1"/>
      <c r="X195" s="1"/>
      <c r="Y195" s="68" t="s">
        <v>318</v>
      </c>
      <c r="Z195" s="69">
        <v>7.0000000000000007E-2</v>
      </c>
      <c r="AA195" s="1">
        <v>317</v>
      </c>
      <c r="AB195" s="70" t="s">
        <v>177</v>
      </c>
      <c r="AC195" s="1"/>
      <c r="AD195" s="1"/>
      <c r="AE195" s="1"/>
    </row>
    <row r="196" spans="1:3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R196" s="1"/>
      <c r="S196" s="1"/>
      <c r="T196" s="1"/>
      <c r="U196" s="1"/>
      <c r="V196" s="1"/>
      <c r="W196" s="1"/>
      <c r="X196" s="1"/>
      <c r="Y196" s="68" t="s">
        <v>319</v>
      </c>
      <c r="Z196" s="69">
        <v>0.11</v>
      </c>
      <c r="AA196" s="1">
        <v>317</v>
      </c>
      <c r="AB196" s="70" t="s">
        <v>9</v>
      </c>
      <c r="AC196" s="1"/>
      <c r="AD196" s="1"/>
      <c r="AE196" s="1"/>
    </row>
    <row r="197" spans="1:3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R197" s="1"/>
      <c r="S197" s="1"/>
      <c r="T197" s="1"/>
      <c r="U197" s="1"/>
      <c r="V197" s="1"/>
      <c r="W197" s="1"/>
      <c r="X197" s="1"/>
      <c r="Y197" s="68" t="s">
        <v>320</v>
      </c>
      <c r="Z197" s="69">
        <v>0.11</v>
      </c>
      <c r="AA197" s="1">
        <v>317</v>
      </c>
      <c r="AB197" s="70" t="s">
        <v>177</v>
      </c>
      <c r="AC197" s="1"/>
      <c r="AD197" s="1"/>
      <c r="AE197" s="1"/>
    </row>
    <row r="198" spans="1:3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R198" s="1"/>
      <c r="S198" s="1"/>
      <c r="T198" s="1"/>
      <c r="U198" s="1"/>
      <c r="V198" s="1"/>
      <c r="W198" s="1"/>
      <c r="X198" s="1"/>
      <c r="Y198" s="68" t="s">
        <v>465</v>
      </c>
      <c r="Z198" s="69">
        <v>0.13500000000000001</v>
      </c>
      <c r="AA198" s="1">
        <v>863</v>
      </c>
      <c r="AB198" s="70" t="s">
        <v>177</v>
      </c>
      <c r="AC198" s="1"/>
      <c r="AD198" s="1"/>
      <c r="AE198" s="1"/>
    </row>
    <row r="199" spans="1:3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P199" s="1"/>
      <c r="Q199" s="1"/>
      <c r="R199" s="1"/>
      <c r="S199" s="1"/>
      <c r="T199" s="1"/>
      <c r="U199" s="1"/>
      <c r="V199" s="1"/>
      <c r="W199" s="1"/>
      <c r="X199" s="1"/>
      <c r="Y199" s="68" t="s">
        <v>466</v>
      </c>
      <c r="Z199" s="69">
        <v>0.13500000000000001</v>
      </c>
      <c r="AA199" s="1">
        <v>863</v>
      </c>
      <c r="AB199" s="70" t="s">
        <v>9</v>
      </c>
      <c r="AC199" s="1"/>
      <c r="AD199" s="1"/>
      <c r="AE199" s="1"/>
    </row>
    <row r="200" spans="1:3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P200" s="1"/>
      <c r="Q200" s="1"/>
      <c r="R200" s="1"/>
      <c r="S200" s="1"/>
      <c r="T200" s="1"/>
      <c r="U200" s="1"/>
      <c r="V200" s="1"/>
      <c r="W200" s="1"/>
      <c r="X200" s="1"/>
      <c r="Y200" s="68" t="s">
        <v>321</v>
      </c>
      <c r="Z200" s="69">
        <v>0.1</v>
      </c>
      <c r="AA200" s="1">
        <v>317</v>
      </c>
      <c r="AB200" s="70" t="s">
        <v>9</v>
      </c>
      <c r="AC200" s="1"/>
      <c r="AD200" s="1"/>
      <c r="AE200" s="1"/>
    </row>
    <row r="201" spans="1:3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P201" s="1"/>
      <c r="Q201" s="1"/>
      <c r="R201" s="1"/>
      <c r="S201" s="1"/>
      <c r="T201" s="1"/>
      <c r="U201" s="1"/>
      <c r="V201" s="1"/>
      <c r="W201" s="1"/>
      <c r="X201" s="1"/>
      <c r="Y201" s="68" t="s">
        <v>322</v>
      </c>
      <c r="Z201" s="69">
        <v>0.1</v>
      </c>
      <c r="AA201" s="1">
        <v>317</v>
      </c>
      <c r="AB201" s="70" t="s">
        <v>177</v>
      </c>
      <c r="AC201" s="1"/>
      <c r="AD201" s="1"/>
      <c r="AE201" s="1"/>
    </row>
    <row r="202" spans="1:3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P202" s="1"/>
      <c r="Q202" s="1"/>
      <c r="R202" s="1"/>
      <c r="S202" s="1"/>
      <c r="T202" s="1"/>
      <c r="U202" s="1"/>
      <c r="V202" s="1"/>
      <c r="W202" s="1"/>
      <c r="X202" s="1"/>
      <c r="Y202" s="68" t="s">
        <v>323</v>
      </c>
      <c r="Z202" s="69">
        <v>0.13500000000000001</v>
      </c>
      <c r="AA202" s="1">
        <v>317</v>
      </c>
      <c r="AB202" s="70" t="s">
        <v>177</v>
      </c>
      <c r="AC202" s="1"/>
      <c r="AD202" s="1"/>
      <c r="AE202" s="1"/>
    </row>
    <row r="203" spans="1:3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P203" s="1"/>
      <c r="Q203" s="1"/>
      <c r="R203" s="1"/>
      <c r="S203" s="1"/>
      <c r="T203" s="1"/>
      <c r="U203" s="1"/>
      <c r="V203" s="1"/>
      <c r="W203" s="1"/>
      <c r="X203" s="1"/>
      <c r="Y203" s="68" t="s">
        <v>324</v>
      </c>
      <c r="Z203" s="69">
        <v>0.13500000000000001</v>
      </c>
      <c r="AA203" s="1">
        <v>317</v>
      </c>
      <c r="AB203" s="70" t="s">
        <v>9</v>
      </c>
      <c r="AC203" s="1"/>
      <c r="AD203" s="1"/>
      <c r="AE203" s="1"/>
    </row>
    <row r="204" spans="1:3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P204" s="1"/>
      <c r="Q204" s="1"/>
      <c r="R204" s="1"/>
      <c r="S204" s="1"/>
      <c r="T204" s="1"/>
      <c r="U204" s="1"/>
      <c r="V204" s="1"/>
      <c r="W204" s="1"/>
      <c r="X204" s="1"/>
      <c r="Y204" s="68" t="s">
        <v>325</v>
      </c>
      <c r="Z204" s="69">
        <v>0.13500000000000001</v>
      </c>
      <c r="AA204" s="1">
        <v>317</v>
      </c>
      <c r="AB204" s="70" t="s">
        <v>9</v>
      </c>
      <c r="AC204" s="1"/>
      <c r="AD204" s="1"/>
      <c r="AE204" s="1"/>
    </row>
    <row r="205" spans="1:3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P205" s="1"/>
      <c r="Q205" s="1"/>
      <c r="R205" s="1"/>
      <c r="S205" s="1"/>
      <c r="T205" s="1"/>
      <c r="U205" s="1"/>
      <c r="V205" s="1"/>
      <c r="W205" s="1"/>
      <c r="X205" s="1"/>
      <c r="Y205" s="68" t="s">
        <v>496</v>
      </c>
      <c r="Z205" s="69">
        <v>0.115</v>
      </c>
      <c r="AA205" s="1">
        <v>317</v>
      </c>
      <c r="AB205" s="70" t="s">
        <v>9</v>
      </c>
      <c r="AC205" s="1"/>
      <c r="AD205" s="1"/>
      <c r="AE205" s="1"/>
    </row>
    <row r="206" spans="1:3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P206" s="1"/>
      <c r="Q206" s="1"/>
      <c r="R206" s="1"/>
      <c r="S206" s="1"/>
      <c r="T206" s="1"/>
      <c r="U206" s="1"/>
      <c r="V206" s="1"/>
      <c r="W206" s="1"/>
      <c r="X206" s="1"/>
      <c r="Y206" s="68" t="s">
        <v>497</v>
      </c>
      <c r="Z206" s="69">
        <v>0.115</v>
      </c>
      <c r="AA206" s="1">
        <v>317</v>
      </c>
      <c r="AB206" s="70" t="s">
        <v>177</v>
      </c>
      <c r="AC206" s="1"/>
      <c r="AD206" s="1"/>
      <c r="AE206" s="1"/>
    </row>
    <row r="207" spans="1:3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P207" s="1"/>
      <c r="Q207" s="1"/>
      <c r="R207" s="1"/>
      <c r="S207" s="1"/>
      <c r="T207" s="1"/>
      <c r="U207" s="1"/>
      <c r="V207" s="1"/>
      <c r="W207" s="1"/>
      <c r="X207" s="1"/>
      <c r="Y207" s="68" t="s">
        <v>498</v>
      </c>
      <c r="Z207" s="69">
        <v>0.115</v>
      </c>
      <c r="AA207" s="1">
        <v>317</v>
      </c>
      <c r="AB207" s="70" t="s">
        <v>9</v>
      </c>
      <c r="AC207" s="1"/>
      <c r="AD207" s="1"/>
      <c r="AE207" s="1"/>
    </row>
    <row r="208" spans="1:3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P208" s="1"/>
      <c r="Q208" s="1"/>
      <c r="R208" s="1"/>
      <c r="S208" s="1"/>
      <c r="T208" s="1"/>
      <c r="U208" s="1"/>
      <c r="V208" s="1"/>
      <c r="W208" s="1"/>
      <c r="X208" s="1"/>
      <c r="Y208" s="68" t="s">
        <v>499</v>
      </c>
      <c r="Z208" s="69">
        <v>0.115</v>
      </c>
      <c r="AA208" s="1">
        <v>317</v>
      </c>
      <c r="AB208" s="70" t="s">
        <v>9</v>
      </c>
      <c r="AC208" s="1"/>
      <c r="AD208" s="1"/>
      <c r="AE208" s="1"/>
    </row>
    <row r="209" spans="1:3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P209" s="1"/>
      <c r="Q209" s="1"/>
      <c r="R209" s="1"/>
      <c r="S209" s="1"/>
      <c r="T209" s="1"/>
      <c r="U209" s="1"/>
      <c r="V209" s="1"/>
      <c r="W209" s="1"/>
      <c r="X209" s="1"/>
      <c r="Y209" s="68" t="s">
        <v>500</v>
      </c>
      <c r="Z209" s="69">
        <v>0.115</v>
      </c>
      <c r="AA209" s="1">
        <v>317</v>
      </c>
      <c r="AB209" s="70" t="s">
        <v>9</v>
      </c>
      <c r="AC209" s="1"/>
      <c r="AD209" s="1"/>
      <c r="AE209" s="1"/>
    </row>
    <row r="210" spans="1:3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P210" s="1"/>
      <c r="Q210" s="1"/>
      <c r="R210" s="1"/>
      <c r="S210" s="1"/>
      <c r="T210" s="1"/>
      <c r="U210" s="1"/>
      <c r="V210" s="1"/>
      <c r="W210" s="1"/>
      <c r="X210" s="1"/>
      <c r="Y210" s="68" t="s">
        <v>501</v>
      </c>
      <c r="Z210" s="69">
        <v>0.115</v>
      </c>
      <c r="AA210" s="1">
        <v>317</v>
      </c>
      <c r="AB210" s="70" t="s">
        <v>177</v>
      </c>
      <c r="AC210" s="1"/>
      <c r="AD210" s="1"/>
      <c r="AE210" s="1"/>
    </row>
    <row r="211" spans="1:3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P211" s="1"/>
      <c r="Q211" s="1"/>
      <c r="R211" s="1"/>
      <c r="S211" s="1"/>
      <c r="T211" s="1"/>
      <c r="U211" s="1"/>
      <c r="V211" s="1"/>
      <c r="W211" s="1"/>
      <c r="X211" s="1"/>
      <c r="Y211" s="68" t="s">
        <v>502</v>
      </c>
      <c r="Z211" s="69">
        <v>0.115</v>
      </c>
      <c r="AA211" s="1">
        <v>317</v>
      </c>
      <c r="AB211" s="70" t="s">
        <v>9</v>
      </c>
      <c r="AC211" s="1"/>
      <c r="AD211" s="1"/>
      <c r="AE211" s="1"/>
    </row>
    <row r="212" spans="1:3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P212" s="1"/>
      <c r="Q212" s="1"/>
      <c r="R212" s="1"/>
      <c r="S212" s="1"/>
      <c r="T212" s="1"/>
      <c r="U212" s="1"/>
      <c r="V212" s="1"/>
      <c r="W212" s="1"/>
      <c r="X212" s="1"/>
      <c r="Y212" s="68" t="s">
        <v>503</v>
      </c>
      <c r="Z212" s="69">
        <v>0.115</v>
      </c>
      <c r="AA212" s="1">
        <v>317</v>
      </c>
      <c r="AB212" s="70" t="s">
        <v>177</v>
      </c>
      <c r="AC212" s="1"/>
      <c r="AD212" s="1"/>
      <c r="AE212" s="1"/>
    </row>
    <row r="213" spans="1:3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P213" s="1"/>
      <c r="Q213" s="1"/>
      <c r="R213" s="1"/>
      <c r="S213" s="1"/>
      <c r="T213" s="1"/>
      <c r="U213" s="1"/>
      <c r="V213" s="1"/>
      <c r="W213" s="1"/>
      <c r="X213" s="1"/>
      <c r="Y213" s="68" t="s">
        <v>504</v>
      </c>
      <c r="Z213" s="69">
        <v>0.115</v>
      </c>
      <c r="AA213" s="1">
        <v>317</v>
      </c>
      <c r="AB213" s="70" t="s">
        <v>9</v>
      </c>
      <c r="AC213" s="1"/>
      <c r="AD213" s="1"/>
      <c r="AE213" s="1"/>
    </row>
    <row r="214" spans="1:3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P214" s="1"/>
      <c r="Q214" s="1"/>
      <c r="R214" s="1"/>
      <c r="S214" s="1"/>
      <c r="T214" s="1"/>
      <c r="U214" s="1"/>
      <c r="V214" s="1"/>
      <c r="W214" s="1"/>
      <c r="X214" s="1"/>
      <c r="Y214" s="68" t="s">
        <v>505</v>
      </c>
      <c r="Z214" s="69">
        <v>0.115</v>
      </c>
      <c r="AA214" s="1">
        <v>317</v>
      </c>
      <c r="AB214" s="70" t="s">
        <v>9</v>
      </c>
      <c r="AC214" s="1"/>
      <c r="AD214" s="1"/>
      <c r="AE214" s="1"/>
    </row>
    <row r="215" spans="1:3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P215" s="1"/>
      <c r="Q215" s="1"/>
      <c r="R215" s="1"/>
      <c r="S215" s="1"/>
      <c r="T215" s="1"/>
      <c r="U215" s="1"/>
      <c r="V215" s="1"/>
      <c r="W215" s="1"/>
      <c r="X215" s="1"/>
      <c r="Y215" s="68" t="s">
        <v>506</v>
      </c>
      <c r="Z215" s="69">
        <v>0.115</v>
      </c>
      <c r="AA215" s="1">
        <v>317</v>
      </c>
      <c r="AB215" s="70" t="s">
        <v>9</v>
      </c>
      <c r="AC215" s="1"/>
      <c r="AD215" s="1"/>
      <c r="AE215" s="1"/>
    </row>
    <row r="216" spans="1:3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P216" s="1"/>
      <c r="Q216" s="1"/>
      <c r="R216" s="1"/>
      <c r="S216" s="1"/>
      <c r="T216" s="1"/>
      <c r="U216" s="1"/>
      <c r="V216" s="1"/>
      <c r="W216" s="1"/>
      <c r="X216" s="1"/>
      <c r="Y216" s="68" t="s">
        <v>507</v>
      </c>
      <c r="Z216" s="69">
        <v>0.115</v>
      </c>
      <c r="AA216" s="1">
        <v>317</v>
      </c>
      <c r="AB216" s="70" t="s">
        <v>9</v>
      </c>
      <c r="AC216" s="1"/>
      <c r="AD216" s="1"/>
      <c r="AE216" s="1"/>
    </row>
    <row r="217" spans="1:3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P217" s="1"/>
      <c r="Q217" s="1"/>
      <c r="R217" s="1"/>
      <c r="S217" s="1"/>
      <c r="T217" s="1"/>
      <c r="U217" s="1"/>
      <c r="V217" s="1"/>
      <c r="W217" s="1"/>
      <c r="X217" s="1"/>
      <c r="Y217" s="68" t="s">
        <v>326</v>
      </c>
      <c r="Z217" s="69">
        <v>0.06</v>
      </c>
      <c r="AA217" s="1">
        <v>317</v>
      </c>
      <c r="AB217" s="70" t="s">
        <v>9</v>
      </c>
      <c r="AC217" s="1"/>
      <c r="AD217" s="1"/>
      <c r="AE217" s="1"/>
    </row>
    <row r="218" spans="1:3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P218" s="1"/>
      <c r="Q218" s="1"/>
      <c r="R218" s="1"/>
      <c r="S218" s="1"/>
      <c r="T218" s="1"/>
      <c r="U218" s="1"/>
      <c r="V218" s="1"/>
      <c r="W218" s="1"/>
      <c r="X218" s="1"/>
      <c r="Y218" s="68" t="s">
        <v>327</v>
      </c>
      <c r="Z218" s="69">
        <v>0.06</v>
      </c>
      <c r="AA218" s="1">
        <v>317</v>
      </c>
      <c r="AB218" s="70" t="s">
        <v>177</v>
      </c>
      <c r="AC218" s="1"/>
      <c r="AD218" s="1"/>
      <c r="AE218" s="1"/>
    </row>
    <row r="219" spans="1:3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P219" s="1"/>
      <c r="Q219" s="1"/>
      <c r="R219" s="1"/>
      <c r="S219" s="1"/>
      <c r="T219" s="1"/>
      <c r="U219" s="1"/>
      <c r="V219" s="1"/>
      <c r="W219" s="1"/>
      <c r="X219" s="1"/>
      <c r="Y219" s="68" t="s">
        <v>257</v>
      </c>
      <c r="Z219" s="69">
        <v>0</v>
      </c>
      <c r="AA219" s="1">
        <v>238</v>
      </c>
      <c r="AB219" s="70" t="s">
        <v>177</v>
      </c>
      <c r="AC219" s="1"/>
      <c r="AD219" s="1"/>
      <c r="AE219" s="1"/>
    </row>
    <row r="220" spans="1:3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P220" s="1"/>
      <c r="Q220" s="1"/>
      <c r="R220" s="1"/>
      <c r="S220" s="1"/>
      <c r="T220" s="1"/>
      <c r="U220" s="1"/>
      <c r="V220" s="1"/>
      <c r="W220" s="1"/>
      <c r="X220" s="1"/>
      <c r="Y220" s="68" t="s">
        <v>258</v>
      </c>
      <c r="Z220" s="69">
        <v>0.08</v>
      </c>
      <c r="AA220" s="1">
        <v>238</v>
      </c>
      <c r="AB220" s="70" t="s">
        <v>177</v>
      </c>
      <c r="AC220" s="1"/>
      <c r="AD220" s="1"/>
      <c r="AE220" s="1"/>
    </row>
    <row r="221" spans="1:3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P221" s="1"/>
      <c r="Q221" s="1"/>
      <c r="R221" s="1"/>
      <c r="S221" s="1"/>
      <c r="T221" s="1"/>
      <c r="U221" s="1"/>
      <c r="V221" s="1"/>
      <c r="W221" s="1"/>
      <c r="X221" s="1"/>
      <c r="Y221" s="68" t="s">
        <v>259</v>
      </c>
      <c r="Z221" s="69">
        <v>0</v>
      </c>
      <c r="AA221" s="1">
        <v>238</v>
      </c>
      <c r="AB221" s="70" t="s">
        <v>9</v>
      </c>
      <c r="AC221" s="1"/>
      <c r="AD221" s="1"/>
      <c r="AE221" s="1"/>
    </row>
    <row r="222" spans="1:3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P222" s="1"/>
      <c r="Q222" s="1"/>
      <c r="R222" s="1"/>
      <c r="S222" s="1"/>
      <c r="T222" s="1"/>
      <c r="U222" s="1"/>
      <c r="V222" s="1"/>
      <c r="W222" s="1"/>
      <c r="X222" s="1"/>
      <c r="Y222" s="68" t="s">
        <v>260</v>
      </c>
      <c r="Z222" s="69">
        <v>0.08</v>
      </c>
      <c r="AA222" s="1">
        <v>238</v>
      </c>
      <c r="AB222" s="70" t="s">
        <v>9</v>
      </c>
      <c r="AC222" s="1"/>
      <c r="AD222" s="1"/>
      <c r="AE222" s="1"/>
    </row>
    <row r="223" spans="1:3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P223" s="1"/>
      <c r="Q223" s="1"/>
      <c r="R223" s="1"/>
      <c r="S223" s="1"/>
      <c r="T223" s="1"/>
      <c r="U223" s="1"/>
      <c r="V223" s="1"/>
      <c r="W223" s="1"/>
      <c r="X223" s="1"/>
      <c r="Y223" s="68" t="s">
        <v>200</v>
      </c>
      <c r="Z223" s="69">
        <v>0</v>
      </c>
      <c r="AA223" s="1">
        <v>0</v>
      </c>
      <c r="AB223" s="70" t="s">
        <v>177</v>
      </c>
      <c r="AC223" s="1"/>
      <c r="AD223" s="1"/>
      <c r="AE223" s="1"/>
    </row>
    <row r="224" spans="1:3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P224" s="1"/>
      <c r="Q224" s="1"/>
      <c r="R224" s="1"/>
      <c r="S224" s="1"/>
      <c r="T224" s="1"/>
      <c r="U224" s="1"/>
      <c r="V224" s="1"/>
      <c r="W224" s="1"/>
      <c r="X224" s="1"/>
      <c r="Y224" s="68" t="s">
        <v>201</v>
      </c>
      <c r="Z224" s="69">
        <v>0</v>
      </c>
      <c r="AA224" s="1">
        <v>0</v>
      </c>
      <c r="AB224" s="70" t="s">
        <v>177</v>
      </c>
      <c r="AC224" s="1"/>
      <c r="AD224" s="1"/>
      <c r="AE224" s="1"/>
    </row>
    <row r="225" spans="1:3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P225" s="1"/>
      <c r="Q225" s="1"/>
      <c r="R225" s="1"/>
      <c r="S225" s="1"/>
      <c r="T225" s="1"/>
      <c r="U225" s="1"/>
      <c r="V225" s="1"/>
      <c r="W225" s="1"/>
      <c r="X225" s="1"/>
      <c r="Y225" s="68" t="s">
        <v>328</v>
      </c>
      <c r="Z225" s="69">
        <v>0.01</v>
      </c>
      <c r="AA225" s="1">
        <v>317</v>
      </c>
      <c r="AB225" s="70" t="s">
        <v>177</v>
      </c>
      <c r="AC225" s="1"/>
      <c r="AD225" s="1"/>
      <c r="AE225" s="1"/>
    </row>
    <row r="226" spans="1:3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P226" s="1"/>
      <c r="Q226" s="1"/>
      <c r="R226" s="1"/>
      <c r="S226" s="1"/>
      <c r="T226" s="1"/>
      <c r="U226" s="1"/>
      <c r="V226" s="1"/>
      <c r="W226" s="1"/>
      <c r="X226" s="1"/>
      <c r="Y226" s="68" t="s">
        <v>397</v>
      </c>
      <c r="Z226" s="69">
        <v>0.05</v>
      </c>
      <c r="AA226" s="1">
        <v>513</v>
      </c>
      <c r="AB226" s="70" t="s">
        <v>11</v>
      </c>
      <c r="AC226" s="1"/>
      <c r="AD226" s="1"/>
      <c r="AE226" s="1"/>
    </row>
    <row r="227" spans="1:3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P227" s="1"/>
      <c r="Q227" s="1"/>
      <c r="R227" s="1"/>
      <c r="S227" s="1"/>
      <c r="T227" s="1"/>
      <c r="U227" s="1"/>
      <c r="V227" s="1"/>
      <c r="W227" s="1"/>
      <c r="X227" s="1"/>
      <c r="Y227" s="68" t="s">
        <v>202</v>
      </c>
      <c r="Z227" s="69">
        <v>3.7499999999999999E-2</v>
      </c>
      <c r="AA227" s="1">
        <v>0</v>
      </c>
      <c r="AB227" s="70" t="s">
        <v>11</v>
      </c>
      <c r="AC227" s="1"/>
      <c r="AD227" s="1"/>
      <c r="AE227" s="1"/>
    </row>
    <row r="228" spans="1:3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P228" s="1"/>
      <c r="Q228" s="1"/>
      <c r="R228" s="1"/>
      <c r="S228" s="1"/>
      <c r="T228" s="1"/>
      <c r="U228" s="1"/>
      <c r="V228" s="1"/>
      <c r="W228" s="1"/>
      <c r="X228" s="1"/>
      <c r="Y228" s="68" t="s">
        <v>203</v>
      </c>
      <c r="Z228" s="69">
        <v>3.7499999999999999E-2</v>
      </c>
      <c r="AA228" s="1">
        <v>0</v>
      </c>
      <c r="AB228" s="70" t="s">
        <v>11</v>
      </c>
      <c r="AC228" s="1"/>
      <c r="AD228" s="1"/>
      <c r="AE228" s="1"/>
    </row>
    <row r="229" spans="1:3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P229" s="1"/>
      <c r="Q229" s="1"/>
      <c r="R229" s="1"/>
      <c r="S229" s="1"/>
      <c r="T229" s="1"/>
      <c r="U229" s="1"/>
      <c r="V229" s="1"/>
      <c r="W229" s="1"/>
      <c r="X229" s="1"/>
      <c r="Y229" s="68" t="s">
        <v>329</v>
      </c>
      <c r="Z229" s="69">
        <v>0.01</v>
      </c>
      <c r="AA229" s="1">
        <v>317</v>
      </c>
      <c r="AB229" s="70" t="s">
        <v>9</v>
      </c>
      <c r="AC229" s="1"/>
      <c r="AD229" s="1"/>
      <c r="AE229" s="1"/>
    </row>
    <row r="230" spans="1:3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P230" s="1"/>
      <c r="Q230" s="1"/>
      <c r="R230" s="1"/>
      <c r="S230" s="1"/>
      <c r="T230" s="1"/>
      <c r="U230" s="1"/>
      <c r="V230" s="1"/>
      <c r="W230" s="1"/>
      <c r="X230" s="1"/>
      <c r="Y230" s="68" t="s">
        <v>204</v>
      </c>
      <c r="Z230" s="69">
        <v>1.4999999999999999E-2</v>
      </c>
      <c r="AA230" s="1">
        <v>0</v>
      </c>
      <c r="AB230" s="70" t="s">
        <v>9</v>
      </c>
      <c r="AC230" s="1"/>
      <c r="AD230" s="1"/>
      <c r="AE230" s="1"/>
    </row>
    <row r="231" spans="1: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P231" s="1"/>
      <c r="Q231" s="1"/>
      <c r="R231" s="1"/>
      <c r="S231" s="1"/>
      <c r="T231" s="1"/>
      <c r="U231" s="1"/>
      <c r="V231" s="1"/>
      <c r="W231" s="1"/>
      <c r="X231" s="1"/>
      <c r="Y231" s="68" t="s">
        <v>398</v>
      </c>
      <c r="Z231" s="69">
        <v>0</v>
      </c>
      <c r="AA231" s="1">
        <v>513</v>
      </c>
      <c r="AB231" s="70" t="s">
        <v>11</v>
      </c>
      <c r="AC231" s="1"/>
      <c r="AD231" s="1"/>
      <c r="AE231" s="1"/>
    </row>
    <row r="232" spans="1:3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P232" s="1"/>
      <c r="Q232" s="1"/>
      <c r="R232" s="1"/>
      <c r="S232" s="1"/>
      <c r="T232" s="1"/>
      <c r="U232" s="1"/>
      <c r="V232" s="1"/>
      <c r="W232" s="1"/>
      <c r="X232" s="1"/>
      <c r="Y232" s="68" t="s">
        <v>399</v>
      </c>
      <c r="Z232" s="69">
        <v>0.09</v>
      </c>
      <c r="AA232" s="1">
        <v>513</v>
      </c>
      <c r="AB232" s="70" t="s">
        <v>11</v>
      </c>
      <c r="AC232" s="1"/>
      <c r="AD232" s="1"/>
      <c r="AE232" s="1"/>
    </row>
    <row r="233" spans="1:3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P233" s="1"/>
      <c r="Q233" s="1"/>
      <c r="R233" s="1"/>
      <c r="S233" s="1"/>
      <c r="T233" s="1"/>
      <c r="U233" s="1"/>
      <c r="V233" s="1"/>
      <c r="W233" s="1"/>
      <c r="X233" s="1"/>
      <c r="Y233" s="68" t="s">
        <v>400</v>
      </c>
      <c r="Z233" s="69">
        <v>0.09</v>
      </c>
      <c r="AA233" s="1">
        <v>513</v>
      </c>
      <c r="AB233" s="70" t="s">
        <v>11</v>
      </c>
      <c r="AC233" s="1"/>
      <c r="AD233" s="1"/>
      <c r="AE233" s="1"/>
    </row>
    <row r="234" spans="1:3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P234" s="1"/>
      <c r="Q234" s="1"/>
      <c r="R234" s="1"/>
      <c r="S234" s="1"/>
      <c r="T234" s="1"/>
      <c r="U234" s="1"/>
      <c r="V234" s="1"/>
      <c r="W234" s="1"/>
      <c r="X234" s="1"/>
      <c r="Y234" s="68" t="s">
        <v>401</v>
      </c>
      <c r="Z234" s="69">
        <v>0.09</v>
      </c>
      <c r="AA234" s="1">
        <v>513</v>
      </c>
      <c r="AB234" s="70" t="s">
        <v>11</v>
      </c>
      <c r="AC234" s="1"/>
      <c r="AD234" s="1"/>
      <c r="AE234" s="1"/>
    </row>
    <row r="235" spans="1:3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P235" s="1"/>
      <c r="Q235" s="1"/>
      <c r="R235" s="1"/>
      <c r="S235" s="1"/>
      <c r="T235" s="1"/>
      <c r="U235" s="1"/>
      <c r="V235" s="1"/>
      <c r="W235" s="1"/>
      <c r="X235" s="1"/>
      <c r="Y235" s="68" t="s">
        <v>205</v>
      </c>
      <c r="Z235" s="69">
        <v>3.7499999999999999E-2</v>
      </c>
      <c r="AA235" s="1">
        <v>0</v>
      </c>
      <c r="AB235" s="70" t="s">
        <v>11</v>
      </c>
      <c r="AC235" s="1"/>
      <c r="AD235" s="1"/>
      <c r="AE235" s="1"/>
    </row>
    <row r="236" spans="1:3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P236" s="1"/>
      <c r="Q236" s="1"/>
      <c r="R236" s="1"/>
      <c r="S236" s="1"/>
      <c r="T236" s="1"/>
      <c r="U236" s="1"/>
      <c r="V236" s="1"/>
      <c r="W236" s="1"/>
      <c r="X236" s="1"/>
      <c r="Y236" s="68" t="s">
        <v>330</v>
      </c>
      <c r="Z236" s="69">
        <v>0.11</v>
      </c>
      <c r="AA236" s="1">
        <v>317</v>
      </c>
      <c r="AB236" s="70" t="s">
        <v>177</v>
      </c>
      <c r="AC236" s="1"/>
      <c r="AD236" s="1"/>
      <c r="AE236" s="1"/>
    </row>
    <row r="237" spans="1:3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P237" s="1"/>
      <c r="Q237" s="1"/>
      <c r="R237" s="1"/>
      <c r="S237" s="1"/>
      <c r="T237" s="1"/>
      <c r="U237" s="1"/>
      <c r="V237" s="1"/>
      <c r="W237" s="1"/>
      <c r="X237" s="1"/>
      <c r="Y237" s="68" t="s">
        <v>331</v>
      </c>
      <c r="Z237" s="69">
        <v>0.11</v>
      </c>
      <c r="AA237" s="1">
        <v>317</v>
      </c>
      <c r="AB237" s="70" t="s">
        <v>9</v>
      </c>
      <c r="AC237" s="1"/>
      <c r="AD237" s="1"/>
      <c r="AE237" s="1"/>
    </row>
    <row r="238" spans="1:3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P238" s="1"/>
      <c r="Q238" s="1"/>
      <c r="R238" s="1"/>
      <c r="S238" s="1"/>
      <c r="T238" s="1"/>
      <c r="U238" s="1"/>
      <c r="V238" s="1"/>
      <c r="W238" s="1"/>
      <c r="X238" s="1"/>
      <c r="Y238" s="68" t="s">
        <v>402</v>
      </c>
      <c r="Z238" s="69">
        <v>0.1</v>
      </c>
      <c r="AA238" s="1">
        <v>513</v>
      </c>
      <c r="AB238" s="70" t="s">
        <v>11</v>
      </c>
      <c r="AC238" s="1"/>
      <c r="AD238" s="1"/>
      <c r="AE238" s="1"/>
    </row>
    <row r="239" spans="1:3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P239" s="1"/>
      <c r="Q239" s="1"/>
      <c r="R239" s="1"/>
      <c r="S239" s="1"/>
      <c r="T239" s="1"/>
      <c r="U239" s="1"/>
      <c r="V239" s="1"/>
      <c r="W239" s="1"/>
      <c r="X239" s="1"/>
      <c r="Y239" s="68" t="s">
        <v>332</v>
      </c>
      <c r="Z239" s="69">
        <v>0.11</v>
      </c>
      <c r="AA239" s="1">
        <v>317</v>
      </c>
      <c r="AB239" s="70" t="s">
        <v>177</v>
      </c>
      <c r="AC239" s="1"/>
      <c r="AD239" s="1"/>
      <c r="AE239" s="1"/>
    </row>
    <row r="240" spans="1:3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P240" s="1"/>
      <c r="Q240" s="1"/>
      <c r="R240" s="1"/>
      <c r="S240" s="1"/>
      <c r="T240" s="1"/>
      <c r="U240" s="1"/>
      <c r="V240" s="1"/>
      <c r="W240" s="1"/>
      <c r="X240" s="1"/>
      <c r="Y240" s="68" t="s">
        <v>333</v>
      </c>
      <c r="Z240" s="69">
        <v>0.11</v>
      </c>
      <c r="AA240" s="1">
        <v>317</v>
      </c>
      <c r="AB240" s="70" t="s">
        <v>9</v>
      </c>
      <c r="AC240" s="1"/>
      <c r="AD240" s="1"/>
      <c r="AE240" s="1"/>
    </row>
    <row r="241" spans="1:3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P241" s="1"/>
      <c r="Q241" s="1"/>
      <c r="R241" s="1"/>
      <c r="S241" s="1"/>
      <c r="T241" s="1"/>
      <c r="U241" s="1"/>
      <c r="V241" s="1"/>
      <c r="W241" s="1"/>
      <c r="X241" s="1"/>
      <c r="Y241" s="68" t="s">
        <v>403</v>
      </c>
      <c r="Z241" s="69">
        <v>0.05</v>
      </c>
      <c r="AA241" s="1">
        <v>513</v>
      </c>
      <c r="AB241" s="70" t="s">
        <v>11</v>
      </c>
      <c r="AC241" s="1"/>
      <c r="AD241" s="1"/>
      <c r="AE241" s="1"/>
    </row>
    <row r="242" spans="1:3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P242" s="1"/>
      <c r="Q242" s="1"/>
      <c r="R242" s="1"/>
      <c r="S242" s="1"/>
      <c r="T242" s="1"/>
      <c r="U242" s="1"/>
      <c r="V242" s="1"/>
      <c r="W242" s="1"/>
      <c r="X242" s="1"/>
      <c r="Y242" s="68" t="s">
        <v>404</v>
      </c>
      <c r="Z242" s="69">
        <v>0.1</v>
      </c>
      <c r="AA242" s="1">
        <v>513</v>
      </c>
      <c r="AB242" s="70" t="s">
        <v>11</v>
      </c>
      <c r="AC242" s="1"/>
      <c r="AD242" s="1"/>
      <c r="AE242" s="1"/>
    </row>
    <row r="243" spans="1:3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P243" s="1"/>
      <c r="Q243" s="1"/>
      <c r="R243" s="1"/>
      <c r="S243" s="1"/>
      <c r="T243" s="1"/>
      <c r="U243" s="1"/>
      <c r="V243" s="1"/>
      <c r="W243" s="1"/>
      <c r="X243" s="1"/>
      <c r="Y243" s="68" t="s">
        <v>405</v>
      </c>
      <c r="Z243" s="69">
        <v>0.1</v>
      </c>
      <c r="AA243" s="1">
        <v>513</v>
      </c>
      <c r="AB243" s="70" t="s">
        <v>11</v>
      </c>
      <c r="AC243" s="1"/>
      <c r="AD243" s="1"/>
      <c r="AE243" s="1"/>
    </row>
    <row r="244" spans="1:3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P244" s="1"/>
      <c r="Q244" s="1"/>
      <c r="R244" s="1"/>
      <c r="S244" s="1"/>
      <c r="T244" s="1"/>
      <c r="U244" s="1"/>
      <c r="V244" s="1"/>
      <c r="W244" s="1"/>
      <c r="X244" s="1"/>
      <c r="Y244" s="68" t="s">
        <v>406</v>
      </c>
      <c r="Z244" s="69">
        <v>0.09</v>
      </c>
      <c r="AA244" s="1">
        <v>513</v>
      </c>
      <c r="AB244" s="70" t="s">
        <v>11</v>
      </c>
      <c r="AC244" s="1"/>
      <c r="AD244" s="1"/>
      <c r="AE244" s="1"/>
    </row>
    <row r="245" spans="1:3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P245" s="1"/>
      <c r="Q245" s="1"/>
      <c r="R245" s="1"/>
      <c r="S245" s="1"/>
      <c r="T245" s="1"/>
      <c r="U245" s="1"/>
      <c r="V245" s="1"/>
      <c r="W245" s="1"/>
      <c r="X245" s="1"/>
      <c r="Y245" s="68" t="s">
        <v>407</v>
      </c>
      <c r="Z245" s="69">
        <v>0.09</v>
      </c>
      <c r="AA245" s="1">
        <v>513</v>
      </c>
      <c r="AB245" s="70" t="s">
        <v>11</v>
      </c>
      <c r="AC245" s="1"/>
      <c r="AD245" s="1"/>
      <c r="AE245" s="1"/>
    </row>
    <row r="246" spans="1:3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P246" s="1"/>
      <c r="Q246" s="1"/>
      <c r="R246" s="1"/>
      <c r="S246" s="1"/>
      <c r="T246" s="1"/>
      <c r="U246" s="1"/>
      <c r="V246" s="1"/>
      <c r="W246" s="1"/>
      <c r="X246" s="1"/>
      <c r="Y246" s="68" t="s">
        <v>334</v>
      </c>
      <c r="Z246" s="69">
        <v>0.09</v>
      </c>
      <c r="AA246" s="1">
        <v>317</v>
      </c>
      <c r="AB246" s="70" t="s">
        <v>177</v>
      </c>
      <c r="AC246" s="1"/>
      <c r="AD246" s="1"/>
      <c r="AE246" s="1"/>
    </row>
    <row r="247" spans="1:3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P247" s="1"/>
      <c r="Q247" s="1"/>
      <c r="R247" s="1"/>
      <c r="S247" s="1"/>
      <c r="T247" s="1"/>
      <c r="U247" s="1"/>
      <c r="V247" s="1"/>
      <c r="W247" s="1"/>
      <c r="X247" s="1"/>
      <c r="Y247" s="68" t="s">
        <v>335</v>
      </c>
      <c r="Z247" s="69">
        <v>0.105</v>
      </c>
      <c r="AA247" s="1">
        <v>317</v>
      </c>
      <c r="AB247" s="70" t="s">
        <v>9</v>
      </c>
      <c r="AC247" s="1"/>
      <c r="AD247" s="1"/>
      <c r="AE247" s="1"/>
    </row>
    <row r="248" spans="1:3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P248" s="1"/>
      <c r="Q248" s="1"/>
      <c r="R248" s="1"/>
      <c r="S248" s="1"/>
      <c r="T248" s="1"/>
      <c r="U248" s="1"/>
      <c r="V248" s="1"/>
      <c r="W248" s="1"/>
      <c r="X248" s="1"/>
      <c r="Y248" s="68" t="s">
        <v>336</v>
      </c>
      <c r="Z248" s="69">
        <v>0.1</v>
      </c>
      <c r="AA248" s="1">
        <v>317</v>
      </c>
      <c r="AB248" s="70" t="s">
        <v>177</v>
      </c>
      <c r="AC248" s="1"/>
      <c r="AD248" s="1"/>
      <c r="AE248" s="1"/>
    </row>
    <row r="249" spans="1:3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P249" s="1"/>
      <c r="Q249" s="1"/>
      <c r="R249" s="1"/>
      <c r="S249" s="1"/>
      <c r="T249" s="1"/>
      <c r="U249" s="1"/>
      <c r="V249" s="1"/>
      <c r="W249" s="1"/>
      <c r="X249" s="1"/>
      <c r="Y249" s="68" t="s">
        <v>337</v>
      </c>
      <c r="Z249" s="69">
        <v>0.1</v>
      </c>
      <c r="AA249" s="1">
        <v>317</v>
      </c>
      <c r="AB249" s="70" t="s">
        <v>9</v>
      </c>
      <c r="AC249" s="1"/>
      <c r="AD249" s="1"/>
      <c r="AE249" s="1"/>
    </row>
    <row r="250" spans="1:3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P250" s="1"/>
      <c r="Q250" s="1"/>
      <c r="R250" s="1"/>
      <c r="S250" s="1"/>
      <c r="T250" s="1"/>
      <c r="U250" s="1"/>
      <c r="V250" s="1"/>
      <c r="W250" s="1"/>
      <c r="X250" s="1"/>
      <c r="Y250" s="68" t="s">
        <v>408</v>
      </c>
      <c r="Z250" s="69">
        <v>0.09</v>
      </c>
      <c r="AA250" s="1">
        <v>513</v>
      </c>
      <c r="AB250" s="70" t="s">
        <v>11</v>
      </c>
      <c r="AC250" s="1"/>
      <c r="AD250" s="1"/>
      <c r="AE250" s="1"/>
    </row>
    <row r="251" spans="1:3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P251" s="1"/>
      <c r="Q251" s="1"/>
      <c r="R251" s="1"/>
      <c r="S251" s="1"/>
      <c r="T251" s="1"/>
      <c r="U251" s="1"/>
      <c r="V251" s="1"/>
      <c r="W251" s="1"/>
      <c r="X251" s="1"/>
      <c r="Y251" s="68" t="s">
        <v>409</v>
      </c>
      <c r="Z251" s="69">
        <v>0.09</v>
      </c>
      <c r="AA251" s="1">
        <v>513</v>
      </c>
      <c r="AB251" s="70" t="s">
        <v>11</v>
      </c>
      <c r="AC251" s="1"/>
      <c r="AD251" s="1"/>
      <c r="AE251" s="1"/>
    </row>
    <row r="252" spans="1:3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P252" s="1"/>
      <c r="Q252" s="1"/>
      <c r="R252" s="1"/>
      <c r="S252" s="1"/>
      <c r="T252" s="1"/>
      <c r="U252" s="1"/>
      <c r="V252" s="1"/>
      <c r="W252" s="1"/>
      <c r="X252" s="1"/>
      <c r="Y252" s="68" t="s">
        <v>410</v>
      </c>
      <c r="Z252" s="69">
        <v>9.5000000000000001E-2</v>
      </c>
      <c r="AA252" s="1">
        <v>513</v>
      </c>
      <c r="AB252" s="70" t="s">
        <v>11</v>
      </c>
      <c r="AC252" s="1"/>
      <c r="AD252" s="1"/>
      <c r="AE252" s="1"/>
    </row>
    <row r="253" spans="1:3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P253" s="1"/>
      <c r="Q253" s="1"/>
      <c r="R253" s="1"/>
      <c r="S253" s="1"/>
      <c r="T253" s="1"/>
      <c r="U253" s="1"/>
      <c r="V253" s="1"/>
      <c r="W253" s="1"/>
      <c r="X253" s="1"/>
      <c r="Y253" s="68" t="s">
        <v>411</v>
      </c>
      <c r="Z253" s="69">
        <v>0.1</v>
      </c>
      <c r="AA253" s="1">
        <v>513</v>
      </c>
      <c r="AB253" s="70" t="s">
        <v>11</v>
      </c>
      <c r="AC253" s="1"/>
      <c r="AD253" s="1"/>
      <c r="AE253" s="1"/>
    </row>
    <row r="254" spans="1:3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P254" s="1"/>
      <c r="Q254" s="1"/>
      <c r="R254" s="1"/>
      <c r="S254" s="1"/>
      <c r="T254" s="1"/>
      <c r="U254" s="1"/>
      <c r="V254" s="1"/>
      <c r="W254" s="1"/>
      <c r="X254" s="1"/>
      <c r="Y254" s="68" t="s">
        <v>412</v>
      </c>
      <c r="Z254" s="69">
        <v>0.1</v>
      </c>
      <c r="AA254" s="1">
        <v>513</v>
      </c>
      <c r="AB254" s="70" t="s">
        <v>11</v>
      </c>
      <c r="AC254" s="1"/>
      <c r="AD254" s="1"/>
      <c r="AE254" s="1"/>
    </row>
    <row r="255" spans="1:3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P255" s="1"/>
      <c r="Q255" s="1"/>
      <c r="R255" s="1"/>
      <c r="S255" s="1"/>
      <c r="T255" s="1"/>
      <c r="U255" s="1"/>
      <c r="V255" s="1"/>
      <c r="W255" s="1"/>
      <c r="X255" s="1"/>
      <c r="Y255" s="68" t="s">
        <v>180</v>
      </c>
      <c r="Z255" s="69">
        <v>0.1</v>
      </c>
      <c r="AA255" s="1">
        <v>513</v>
      </c>
      <c r="AB255" s="70" t="s">
        <v>11</v>
      </c>
      <c r="AC255" s="1"/>
      <c r="AD255" s="1"/>
      <c r="AE255" s="1"/>
    </row>
    <row r="256" spans="1:3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P256" s="1"/>
      <c r="Q256" s="1"/>
      <c r="R256" s="1"/>
      <c r="S256" s="1"/>
      <c r="T256" s="1"/>
      <c r="U256" s="1"/>
      <c r="V256" s="1"/>
      <c r="W256" s="1"/>
      <c r="X256" s="1"/>
      <c r="Y256" s="68" t="s">
        <v>413</v>
      </c>
      <c r="Z256" s="69">
        <v>0.05</v>
      </c>
      <c r="AA256" s="1">
        <v>513</v>
      </c>
      <c r="AB256" s="70" t="s">
        <v>11</v>
      </c>
      <c r="AC256" s="1"/>
      <c r="AD256" s="1"/>
      <c r="AE256" s="1"/>
    </row>
    <row r="257" spans="1:3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P257" s="1"/>
      <c r="Q257" s="1"/>
      <c r="R257" s="1"/>
      <c r="S257" s="1"/>
      <c r="T257" s="1"/>
      <c r="U257" s="1"/>
      <c r="V257" s="1"/>
      <c r="W257" s="1"/>
      <c r="X257" s="1"/>
      <c r="Y257" s="68" t="s">
        <v>414</v>
      </c>
      <c r="Z257" s="69">
        <v>0.1</v>
      </c>
      <c r="AA257" s="1">
        <v>513</v>
      </c>
      <c r="AB257" s="70" t="s">
        <v>11</v>
      </c>
      <c r="AC257" s="1"/>
      <c r="AD257" s="1"/>
      <c r="AE257" s="1"/>
    </row>
    <row r="258" spans="1:3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P258" s="1"/>
      <c r="Q258" s="1"/>
      <c r="R258" s="1"/>
      <c r="S258" s="1"/>
      <c r="T258" s="1"/>
      <c r="U258" s="1"/>
      <c r="V258" s="1"/>
      <c r="W258" s="1"/>
      <c r="X258" s="1"/>
      <c r="Y258" s="68" t="s">
        <v>415</v>
      </c>
      <c r="Z258" s="69">
        <v>0.1</v>
      </c>
      <c r="AA258" s="1">
        <v>513</v>
      </c>
      <c r="AB258" s="70" t="s">
        <v>11</v>
      </c>
      <c r="AC258" s="1"/>
      <c r="AD258" s="1"/>
      <c r="AE258" s="1"/>
    </row>
    <row r="259" spans="1:3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P259" s="1"/>
      <c r="Q259" s="1"/>
      <c r="R259" s="1"/>
      <c r="S259" s="1"/>
      <c r="T259" s="1"/>
      <c r="U259" s="1"/>
      <c r="V259" s="1"/>
      <c r="W259" s="1"/>
      <c r="X259" s="1"/>
      <c r="Y259" s="68" t="s">
        <v>416</v>
      </c>
      <c r="Z259" s="69">
        <v>0.1</v>
      </c>
      <c r="AA259" s="1">
        <v>513</v>
      </c>
      <c r="AB259" s="70" t="s">
        <v>11</v>
      </c>
      <c r="AC259" s="1"/>
      <c r="AD259" s="1"/>
      <c r="AE259" s="1"/>
    </row>
    <row r="260" spans="1:3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P260" s="1"/>
      <c r="Q260" s="1"/>
      <c r="R260" s="1"/>
      <c r="S260" s="1"/>
      <c r="T260" s="1"/>
      <c r="U260" s="1"/>
      <c r="V260" s="1"/>
      <c r="W260" s="1"/>
      <c r="X260" s="1"/>
      <c r="Y260" s="68" t="s">
        <v>417</v>
      </c>
      <c r="Z260" s="69">
        <v>0.1</v>
      </c>
      <c r="AA260" s="1">
        <v>513</v>
      </c>
      <c r="AB260" s="70" t="s">
        <v>11</v>
      </c>
      <c r="AC260" s="1"/>
      <c r="AD260" s="1"/>
      <c r="AE260" s="1"/>
    </row>
    <row r="261" spans="1:3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P261" s="1"/>
      <c r="Q261" s="1"/>
      <c r="R261" s="1"/>
      <c r="S261" s="1"/>
      <c r="T261" s="1"/>
      <c r="U261" s="1"/>
      <c r="V261" s="1"/>
      <c r="W261" s="1"/>
      <c r="X261" s="1"/>
      <c r="Y261" s="68" t="s">
        <v>418</v>
      </c>
      <c r="Z261" s="69">
        <v>0.1</v>
      </c>
      <c r="AA261" s="1">
        <v>513</v>
      </c>
      <c r="AB261" s="70" t="s">
        <v>11</v>
      </c>
      <c r="AC261" s="1"/>
      <c r="AD261" s="1"/>
      <c r="AE261" s="1"/>
    </row>
    <row r="262" spans="1:3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P262" s="1"/>
      <c r="Q262" s="1"/>
      <c r="R262" s="1"/>
      <c r="S262" s="1"/>
      <c r="T262" s="1"/>
      <c r="U262" s="1"/>
      <c r="V262" s="1"/>
      <c r="W262" s="1"/>
      <c r="X262" s="1"/>
      <c r="Y262" s="68" t="s">
        <v>419</v>
      </c>
      <c r="Z262" s="69">
        <v>0.05</v>
      </c>
      <c r="AA262" s="1">
        <v>513</v>
      </c>
      <c r="AB262" s="70" t="s">
        <v>11</v>
      </c>
      <c r="AC262" s="1"/>
      <c r="AD262" s="1"/>
      <c r="AE262" s="1"/>
    </row>
    <row r="263" spans="1:3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P263" s="1"/>
      <c r="Q263" s="1"/>
      <c r="R263" s="1"/>
      <c r="S263" s="1"/>
      <c r="T263" s="1"/>
      <c r="U263" s="1"/>
      <c r="V263" s="1"/>
      <c r="W263" s="1"/>
      <c r="X263" s="1"/>
      <c r="Y263" s="68" t="s">
        <v>420</v>
      </c>
      <c r="Z263" s="69">
        <v>0.1</v>
      </c>
      <c r="AA263" s="1">
        <v>513</v>
      </c>
      <c r="AB263" s="70" t="s">
        <v>11</v>
      </c>
      <c r="AC263" s="1"/>
      <c r="AD263" s="1"/>
      <c r="AE263" s="1"/>
    </row>
    <row r="264" spans="1:3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P264" s="1"/>
      <c r="Q264" s="1"/>
      <c r="R264" s="1"/>
      <c r="S264" s="1"/>
      <c r="T264" s="1"/>
      <c r="U264" s="1"/>
      <c r="V264" s="1"/>
      <c r="W264" s="1"/>
      <c r="X264" s="1"/>
      <c r="Y264" s="68" t="s">
        <v>421</v>
      </c>
      <c r="Z264" s="69">
        <v>0.125</v>
      </c>
      <c r="AA264" s="1">
        <v>513</v>
      </c>
      <c r="AB264" s="70" t="s">
        <v>11</v>
      </c>
      <c r="AC264" s="1"/>
      <c r="AD264" s="1"/>
      <c r="AE264" s="1"/>
    </row>
    <row r="265" spans="1:3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P265" s="1"/>
      <c r="Q265" s="1"/>
      <c r="R265" s="1"/>
      <c r="S265" s="1"/>
      <c r="T265" s="1"/>
      <c r="U265" s="1"/>
      <c r="V265" s="1"/>
      <c r="W265" s="1"/>
      <c r="X265" s="1"/>
      <c r="Y265" s="68" t="s">
        <v>422</v>
      </c>
      <c r="Z265" s="69">
        <v>0.1</v>
      </c>
      <c r="AA265" s="1">
        <v>513</v>
      </c>
      <c r="AB265" s="70" t="s">
        <v>11</v>
      </c>
      <c r="AC265" s="1"/>
      <c r="AD265" s="1"/>
      <c r="AE265" s="1"/>
    </row>
    <row r="266" spans="1:3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P266" s="1"/>
      <c r="Q266" s="1"/>
      <c r="R266" s="1"/>
      <c r="S266" s="1"/>
      <c r="T266" s="1"/>
      <c r="U266" s="1"/>
      <c r="V266" s="1"/>
      <c r="W266" s="1"/>
      <c r="X266" s="1"/>
      <c r="Y266" s="68" t="s">
        <v>423</v>
      </c>
      <c r="Z266" s="69">
        <v>0.1</v>
      </c>
      <c r="AA266" s="1">
        <v>513</v>
      </c>
      <c r="AB266" s="70" t="s">
        <v>11</v>
      </c>
      <c r="AC266" s="1"/>
      <c r="AD266" s="1"/>
      <c r="AE266" s="1"/>
    </row>
    <row r="267" spans="1:3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P267" s="1"/>
      <c r="Q267" s="1"/>
      <c r="R267" s="1"/>
      <c r="S267" s="1"/>
      <c r="T267" s="1"/>
      <c r="U267" s="1"/>
      <c r="V267" s="1"/>
      <c r="W267" s="1"/>
      <c r="X267" s="1"/>
      <c r="Y267" s="68" t="s">
        <v>424</v>
      </c>
      <c r="Z267" s="69">
        <v>0.1</v>
      </c>
      <c r="AA267" s="1">
        <v>513</v>
      </c>
      <c r="AB267" s="70" t="s">
        <v>11</v>
      </c>
      <c r="AC267" s="1"/>
      <c r="AD267" s="1"/>
      <c r="AE267" s="1"/>
    </row>
    <row r="268" spans="1:3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P268" s="1"/>
      <c r="Q268" s="1"/>
      <c r="R268" s="1"/>
      <c r="S268" s="1"/>
      <c r="T268" s="1"/>
      <c r="U268" s="1"/>
      <c r="V268" s="1"/>
      <c r="W268" s="1"/>
      <c r="X268" s="1"/>
      <c r="Y268" s="68" t="s">
        <v>425</v>
      </c>
      <c r="Z268" s="69">
        <v>0.08</v>
      </c>
      <c r="AA268" s="1">
        <v>513</v>
      </c>
      <c r="AB268" s="70" t="s">
        <v>11</v>
      </c>
      <c r="AC268" s="1"/>
      <c r="AD268" s="1"/>
      <c r="AE268" s="1"/>
    </row>
    <row r="269" spans="1:3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P269" s="1"/>
      <c r="Q269" s="1"/>
      <c r="R269" s="1"/>
      <c r="S269" s="1"/>
      <c r="T269" s="1"/>
      <c r="U269" s="1"/>
      <c r="V269" s="1"/>
      <c r="W269" s="1"/>
      <c r="X269" s="1"/>
      <c r="Y269" s="68" t="s">
        <v>426</v>
      </c>
      <c r="Z269" s="69">
        <v>0.08</v>
      </c>
      <c r="AA269" s="1">
        <v>513</v>
      </c>
      <c r="AB269" s="70" t="s">
        <v>11</v>
      </c>
      <c r="AC269" s="1"/>
      <c r="AD269" s="1"/>
      <c r="AE269" s="1"/>
    </row>
    <row r="270" spans="1:3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P270" s="1"/>
      <c r="Q270" s="1"/>
      <c r="R270" s="1"/>
      <c r="S270" s="1"/>
      <c r="T270" s="1"/>
      <c r="U270" s="1"/>
      <c r="V270" s="1"/>
      <c r="W270" s="1"/>
      <c r="X270" s="1"/>
      <c r="Y270" s="68" t="s">
        <v>427</v>
      </c>
      <c r="Z270" s="69">
        <v>0.09</v>
      </c>
      <c r="AA270" s="1">
        <v>513</v>
      </c>
      <c r="AB270" s="70" t="s">
        <v>11</v>
      </c>
      <c r="AC270" s="1"/>
      <c r="AD270" s="1"/>
      <c r="AE270" s="1"/>
    </row>
    <row r="271" spans="1:3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P271" s="1"/>
      <c r="Q271" s="1"/>
      <c r="R271" s="1"/>
      <c r="S271" s="1"/>
      <c r="T271" s="1"/>
      <c r="U271" s="1"/>
      <c r="V271" s="1"/>
      <c r="W271" s="1"/>
      <c r="X271" s="1"/>
      <c r="Y271" s="68" t="s">
        <v>428</v>
      </c>
      <c r="Z271" s="69">
        <v>0.09</v>
      </c>
      <c r="AA271" s="1">
        <v>513</v>
      </c>
      <c r="AB271" s="70" t="s">
        <v>11</v>
      </c>
      <c r="AC271" s="1"/>
      <c r="AD271" s="1"/>
      <c r="AE271" s="1"/>
    </row>
    <row r="272" spans="1:3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P272" s="1"/>
      <c r="Q272" s="1"/>
      <c r="R272" s="1"/>
      <c r="S272" s="1"/>
      <c r="T272" s="1"/>
      <c r="U272" s="1"/>
      <c r="V272" s="1"/>
      <c r="W272" s="1"/>
      <c r="X272" s="1"/>
      <c r="Y272" s="68" t="s">
        <v>429</v>
      </c>
      <c r="Z272" s="69">
        <v>0.08</v>
      </c>
      <c r="AA272" s="1">
        <v>513</v>
      </c>
      <c r="AB272" s="70" t="s">
        <v>11</v>
      </c>
      <c r="AC272" s="1"/>
      <c r="AD272" s="1"/>
      <c r="AE272" s="1"/>
    </row>
    <row r="273" spans="1:3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P273" s="1"/>
      <c r="Q273" s="1"/>
      <c r="R273" s="1"/>
      <c r="S273" s="1"/>
      <c r="T273" s="1"/>
      <c r="U273" s="1"/>
      <c r="V273" s="1"/>
      <c r="W273" s="1"/>
      <c r="X273" s="1"/>
      <c r="Y273" s="68" t="s">
        <v>430</v>
      </c>
      <c r="Z273" s="69">
        <v>0.09</v>
      </c>
      <c r="AA273" s="1">
        <v>513</v>
      </c>
      <c r="AB273" s="70" t="s">
        <v>11</v>
      </c>
      <c r="AC273" s="1"/>
      <c r="AD273" s="1"/>
      <c r="AE273" s="1"/>
    </row>
    <row r="274" spans="1:3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P274" s="1"/>
      <c r="Q274" s="1"/>
      <c r="R274" s="1"/>
      <c r="S274" s="1"/>
      <c r="T274" s="1"/>
      <c r="U274" s="1"/>
      <c r="V274" s="1"/>
      <c r="W274" s="1"/>
      <c r="X274" s="1"/>
      <c r="Y274" s="68" t="s">
        <v>431</v>
      </c>
      <c r="Z274" s="69">
        <v>0.125</v>
      </c>
      <c r="AA274" s="1">
        <v>513</v>
      </c>
      <c r="AB274" s="70" t="s">
        <v>11</v>
      </c>
      <c r="AC274" s="1"/>
      <c r="AD274" s="1"/>
      <c r="AE274" s="1"/>
    </row>
    <row r="275" spans="1:3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P275" s="1"/>
      <c r="Q275" s="1"/>
      <c r="R275" s="1"/>
      <c r="S275" s="1"/>
      <c r="T275" s="1"/>
      <c r="U275" s="1"/>
      <c r="V275" s="1"/>
      <c r="W275" s="1"/>
      <c r="X275" s="1"/>
      <c r="Y275" s="68" t="s">
        <v>432</v>
      </c>
      <c r="Z275" s="69">
        <v>0.09</v>
      </c>
      <c r="AA275" s="1">
        <v>513</v>
      </c>
      <c r="AB275" s="70" t="s">
        <v>11</v>
      </c>
      <c r="AC275" s="1"/>
      <c r="AD275" s="1"/>
      <c r="AE275" s="1"/>
    </row>
    <row r="276" spans="1:3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P276" s="1"/>
      <c r="Q276" s="1"/>
      <c r="R276" s="1"/>
      <c r="S276" s="1"/>
      <c r="T276" s="1"/>
      <c r="U276" s="1"/>
      <c r="V276" s="1"/>
      <c r="W276" s="1"/>
      <c r="X276" s="1"/>
      <c r="Y276" s="68" t="s">
        <v>433</v>
      </c>
      <c r="Z276" s="69">
        <v>0.09</v>
      </c>
      <c r="AA276" s="1">
        <v>513</v>
      </c>
      <c r="AB276" s="70" t="s">
        <v>11</v>
      </c>
      <c r="AC276" s="1"/>
      <c r="AD276" s="1"/>
      <c r="AE276" s="1"/>
    </row>
    <row r="277" spans="1:3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P277" s="1"/>
      <c r="Q277" s="1"/>
      <c r="R277" s="1"/>
      <c r="S277" s="1"/>
      <c r="T277" s="1"/>
      <c r="U277" s="1"/>
      <c r="V277" s="1"/>
      <c r="W277" s="1"/>
      <c r="X277" s="1"/>
      <c r="Y277" s="68" t="s">
        <v>434</v>
      </c>
      <c r="Z277" s="69">
        <v>0.08</v>
      </c>
      <c r="AA277" s="1">
        <v>513</v>
      </c>
      <c r="AB277" s="70" t="s">
        <v>11</v>
      </c>
      <c r="AC277" s="1"/>
      <c r="AD277" s="1"/>
      <c r="AE277" s="1"/>
    </row>
    <row r="278" spans="1:3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P278" s="1"/>
      <c r="Q278" s="1"/>
      <c r="R278" s="1"/>
      <c r="S278" s="1"/>
      <c r="T278" s="1"/>
      <c r="U278" s="1"/>
      <c r="V278" s="1"/>
      <c r="W278" s="1"/>
      <c r="X278" s="1"/>
      <c r="Y278" s="68" t="s">
        <v>435</v>
      </c>
      <c r="Z278" s="69">
        <v>9.5000000000000001E-2</v>
      </c>
      <c r="AA278" s="1">
        <v>513</v>
      </c>
      <c r="AB278" s="70" t="s">
        <v>11</v>
      </c>
      <c r="AC278" s="1"/>
      <c r="AD278" s="1"/>
      <c r="AE278" s="1"/>
    </row>
    <row r="279" spans="1:3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P279" s="1"/>
      <c r="Q279" s="1"/>
      <c r="R279" s="1"/>
      <c r="S279" s="1"/>
      <c r="T279" s="1"/>
      <c r="U279" s="1"/>
      <c r="V279" s="1"/>
      <c r="W279" s="1"/>
      <c r="X279" s="1"/>
      <c r="Y279" s="68" t="s">
        <v>526</v>
      </c>
      <c r="Z279" s="69">
        <v>3.7499999999999999E-2</v>
      </c>
      <c r="AA279" s="1">
        <v>0</v>
      </c>
      <c r="AB279" s="70" t="s">
        <v>177</v>
      </c>
      <c r="AC279" s="1"/>
      <c r="AD279" s="1"/>
      <c r="AE279" s="1"/>
    </row>
    <row r="280" spans="1:3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P280" s="1"/>
      <c r="Q280" s="1"/>
      <c r="R280" s="1"/>
      <c r="S280" s="1"/>
      <c r="T280" s="1"/>
      <c r="U280" s="1"/>
      <c r="V280" s="1"/>
      <c r="W280" s="1"/>
      <c r="X280" s="1"/>
      <c r="Y280" s="68" t="s">
        <v>527</v>
      </c>
      <c r="Z280" s="69">
        <v>3.7499999999999999E-2</v>
      </c>
      <c r="AA280" s="1">
        <v>0</v>
      </c>
      <c r="AB280" s="70" t="s">
        <v>11</v>
      </c>
      <c r="AC280" s="1"/>
      <c r="AD280" s="1"/>
      <c r="AE280" s="1"/>
    </row>
    <row r="281" spans="1:3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P281" s="1"/>
      <c r="Q281" s="1"/>
      <c r="R281" s="1"/>
      <c r="S281" s="1"/>
      <c r="T281" s="1"/>
      <c r="U281" s="1"/>
      <c r="V281" s="1"/>
      <c r="W281" s="1"/>
      <c r="X281" s="1"/>
      <c r="Y281" s="68" t="s">
        <v>528</v>
      </c>
      <c r="Z281" s="69">
        <v>3.7500000000000006E-2</v>
      </c>
      <c r="AA281" s="1">
        <v>0</v>
      </c>
      <c r="AB281" s="70" t="s">
        <v>11</v>
      </c>
      <c r="AC281" s="1"/>
      <c r="AD281" s="1"/>
      <c r="AE281" s="1"/>
    </row>
    <row r="282" spans="1:3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P282" s="1"/>
      <c r="Q282" s="1"/>
      <c r="R282" s="1"/>
      <c r="S282" s="1"/>
      <c r="T282" s="1"/>
      <c r="U282" s="1"/>
      <c r="V282" s="1"/>
      <c r="W282" s="1"/>
      <c r="X282" s="1"/>
      <c r="Y282" s="68" t="s">
        <v>529</v>
      </c>
      <c r="Z282" s="69">
        <v>9.5000000000000001E-2</v>
      </c>
      <c r="AA282" s="1">
        <v>513</v>
      </c>
      <c r="AB282" s="70" t="s">
        <v>11</v>
      </c>
      <c r="AC282" s="1"/>
      <c r="AD282" s="1"/>
      <c r="AE282" s="1"/>
    </row>
    <row r="283" spans="1:3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P283" s="1"/>
      <c r="Q283" s="1"/>
      <c r="R283" s="1"/>
      <c r="S283" s="1"/>
      <c r="T283" s="1"/>
      <c r="U283" s="1"/>
      <c r="V283" s="1"/>
      <c r="W283" s="1"/>
      <c r="X283" s="1"/>
      <c r="Y283" s="68" t="s">
        <v>530</v>
      </c>
      <c r="Z283" s="69">
        <v>0.01</v>
      </c>
      <c r="AA283" s="1">
        <v>317</v>
      </c>
      <c r="AB283" s="70" t="s">
        <v>9</v>
      </c>
      <c r="AC283" s="1"/>
      <c r="AD283" s="1"/>
      <c r="AE283" s="1"/>
    </row>
    <row r="284" spans="1:3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P284" s="1"/>
      <c r="Q284" s="1"/>
      <c r="R284" s="1"/>
      <c r="S284" s="1"/>
      <c r="T284" s="1"/>
      <c r="U284" s="1"/>
      <c r="V284" s="1"/>
      <c r="W284" s="1"/>
      <c r="X284" s="1"/>
      <c r="Y284" s="68" t="s">
        <v>531</v>
      </c>
      <c r="Z284" s="69">
        <v>0.08</v>
      </c>
      <c r="AA284" s="1">
        <v>513</v>
      </c>
      <c r="AB284" s="70" t="s">
        <v>11</v>
      </c>
      <c r="AC284" s="1"/>
      <c r="AD284" s="1"/>
      <c r="AE284" s="1"/>
    </row>
    <row r="285" spans="1:3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P285" s="1"/>
      <c r="Q285" s="1"/>
      <c r="R285" s="1"/>
      <c r="S285" s="1"/>
      <c r="T285" s="1"/>
      <c r="U285" s="1"/>
      <c r="V285" s="1"/>
      <c r="W285" s="1"/>
      <c r="X285" s="1"/>
      <c r="Y285" s="68" t="s">
        <v>540</v>
      </c>
      <c r="Z285" s="69">
        <v>3.7500000000000006E-2</v>
      </c>
      <c r="AA285" s="1">
        <v>0</v>
      </c>
      <c r="AB285" s="70" t="s">
        <v>9</v>
      </c>
      <c r="AC285" s="1"/>
      <c r="AD285" s="1"/>
      <c r="AE285" s="1"/>
    </row>
    <row r="286" spans="1:3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P286" s="1"/>
      <c r="Q286" s="1"/>
      <c r="R286" s="1"/>
      <c r="S286" s="1"/>
      <c r="T286" s="1"/>
      <c r="U286" s="1"/>
      <c r="V286" s="1"/>
      <c r="W286" s="1"/>
      <c r="X286" s="1"/>
      <c r="Y286" s="68" t="s">
        <v>541</v>
      </c>
      <c r="Z286" s="69">
        <v>0</v>
      </c>
      <c r="AA286" s="1">
        <v>0</v>
      </c>
      <c r="AB286" s="70" t="s">
        <v>177</v>
      </c>
      <c r="AC286" s="1"/>
      <c r="AD286" s="1"/>
      <c r="AE286" s="1"/>
    </row>
    <row r="287" spans="1:3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P287" s="1"/>
      <c r="Q287" s="1"/>
      <c r="R287" s="1"/>
      <c r="S287" s="1"/>
      <c r="T287" s="1"/>
      <c r="U287" s="1"/>
      <c r="V287" s="1"/>
      <c r="W287" s="1"/>
      <c r="X287" s="1"/>
      <c r="Y287" s="68" t="s">
        <v>542</v>
      </c>
      <c r="Z287" s="69">
        <v>0.11000000000000001</v>
      </c>
      <c r="AA287" s="1">
        <v>317</v>
      </c>
      <c r="AB287" s="70" t="s">
        <v>9</v>
      </c>
      <c r="AC287" s="1"/>
      <c r="AD287" s="1"/>
      <c r="AE287" s="1"/>
    </row>
    <row r="288" spans="1:3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P288" s="1"/>
      <c r="Q288" s="1"/>
      <c r="R288" s="1"/>
      <c r="S288" s="1"/>
      <c r="T288" s="1"/>
      <c r="U288" s="1"/>
      <c r="V288" s="1"/>
      <c r="W288" s="1"/>
      <c r="X288" s="1"/>
      <c r="Y288" s="68" t="s">
        <v>543</v>
      </c>
      <c r="Z288" s="69">
        <v>0.11000000000000001</v>
      </c>
      <c r="AA288" s="1">
        <v>317</v>
      </c>
      <c r="AB288" s="70" t="s">
        <v>177</v>
      </c>
      <c r="AC288" s="1"/>
      <c r="AD288" s="1"/>
      <c r="AE288" s="1"/>
    </row>
    <row r="289" spans="1:3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P289" s="1"/>
      <c r="Q289" s="1"/>
      <c r="R289" s="1"/>
      <c r="S289" s="1"/>
      <c r="T289" s="1"/>
      <c r="U289" s="1"/>
      <c r="V289" s="1"/>
      <c r="W289" s="1"/>
      <c r="X289" s="1"/>
      <c r="Y289" s="68" t="s">
        <v>544</v>
      </c>
      <c r="Z289" s="69">
        <v>0.11000000000000001</v>
      </c>
      <c r="AA289" s="1">
        <v>317</v>
      </c>
      <c r="AB289" s="70" t="s">
        <v>9</v>
      </c>
      <c r="AC289" s="1"/>
      <c r="AD289" s="1"/>
      <c r="AE289" s="1"/>
    </row>
    <row r="290" spans="1:3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P290" s="1"/>
      <c r="Q290" s="1"/>
      <c r="R290" s="1"/>
      <c r="S290" s="1"/>
      <c r="T290" s="1"/>
      <c r="U290" s="1"/>
      <c r="V290" s="1"/>
      <c r="W290" s="1"/>
      <c r="X290" s="1"/>
      <c r="Y290" s="68" t="s">
        <v>545</v>
      </c>
      <c r="Z290" s="69">
        <v>0.11000000000000001</v>
      </c>
      <c r="AA290" s="1">
        <v>317</v>
      </c>
      <c r="AB290" s="70" t="s">
        <v>9</v>
      </c>
      <c r="AC290" s="1"/>
      <c r="AD290" s="1"/>
      <c r="AE290" s="1"/>
    </row>
    <row r="291" spans="1:3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P291" s="1"/>
      <c r="Q291" s="1"/>
      <c r="R291" s="1"/>
      <c r="S291" s="1"/>
      <c r="T291" s="1"/>
      <c r="U291" s="1"/>
      <c r="V291" s="1"/>
      <c r="W291" s="1"/>
      <c r="X291" s="1"/>
      <c r="Y291" s="68" t="s">
        <v>546</v>
      </c>
      <c r="Z291" s="69">
        <v>0.11000000000000001</v>
      </c>
      <c r="AA291" s="1">
        <v>317</v>
      </c>
      <c r="AB291" s="70" t="s">
        <v>177</v>
      </c>
      <c r="AC291" s="1"/>
      <c r="AD291" s="1"/>
      <c r="AE291" s="1"/>
    </row>
    <row r="292" spans="1:3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P292" s="1"/>
      <c r="Q292" s="1"/>
      <c r="R292" s="1"/>
      <c r="S292" s="1"/>
      <c r="T292" s="1"/>
      <c r="U292" s="1"/>
      <c r="V292" s="1"/>
      <c r="W292" s="1"/>
      <c r="X292" s="1"/>
      <c r="Y292" s="68" t="s">
        <v>547</v>
      </c>
      <c r="Z292" s="69">
        <v>0.11000000000000001</v>
      </c>
      <c r="AA292" s="1">
        <v>317</v>
      </c>
      <c r="AB292" s="70" t="s">
        <v>9</v>
      </c>
      <c r="AC292" s="1"/>
      <c r="AD292" s="1"/>
      <c r="AE292" s="1"/>
    </row>
    <row r="293" spans="1:3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P293" s="1"/>
      <c r="Q293" s="1"/>
      <c r="R293" s="1"/>
      <c r="S293" s="1"/>
      <c r="T293" s="1"/>
      <c r="U293" s="1"/>
      <c r="V293" s="1"/>
      <c r="W293" s="1"/>
      <c r="X293" s="1"/>
      <c r="Y293" s="68" t="s">
        <v>548</v>
      </c>
      <c r="Z293" s="69">
        <v>0.11000000000000001</v>
      </c>
      <c r="AA293" s="1">
        <v>317</v>
      </c>
      <c r="AB293" s="70" t="s">
        <v>177</v>
      </c>
      <c r="AC293" s="1"/>
      <c r="AD293" s="1"/>
      <c r="AE293" s="1"/>
    </row>
    <row r="294" spans="1:3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P294" s="1"/>
      <c r="Q294" s="1"/>
      <c r="R294" s="1"/>
      <c r="S294" s="1"/>
      <c r="T294" s="1"/>
      <c r="U294" s="1"/>
      <c r="V294" s="1"/>
      <c r="W294" s="1"/>
      <c r="X294" s="1"/>
      <c r="Y294" s="68" t="s">
        <v>549</v>
      </c>
      <c r="Z294" s="69">
        <v>0.11000000000000001</v>
      </c>
      <c r="AA294" s="1">
        <v>317</v>
      </c>
      <c r="AB294" s="70" t="s">
        <v>177</v>
      </c>
      <c r="AC294" s="1"/>
      <c r="AD294" s="1"/>
      <c r="AE294" s="1"/>
    </row>
    <row r="295" spans="1:3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P295" s="1"/>
      <c r="Q295" s="1"/>
      <c r="R295" s="1"/>
      <c r="S295" s="1"/>
      <c r="T295" s="1"/>
      <c r="U295" s="1"/>
      <c r="V295" s="1"/>
      <c r="W295" s="1"/>
      <c r="X295" s="1"/>
      <c r="Y295" s="68" t="s">
        <v>550</v>
      </c>
      <c r="Z295" s="69">
        <v>0.11000000000000001</v>
      </c>
      <c r="AA295" s="1">
        <v>317</v>
      </c>
      <c r="AB295" s="70" t="s">
        <v>9</v>
      </c>
      <c r="AC295" s="1"/>
      <c r="AD295" s="1"/>
      <c r="AE295" s="1"/>
    </row>
    <row r="296" spans="1:3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P296" s="1"/>
      <c r="Q296" s="1"/>
      <c r="R296" s="1"/>
      <c r="S296" s="1"/>
      <c r="T296" s="1"/>
      <c r="U296" s="1"/>
      <c r="V296" s="1"/>
      <c r="W296" s="1"/>
      <c r="X296" s="1"/>
      <c r="Y296" s="68" t="s">
        <v>551</v>
      </c>
      <c r="Z296" s="69">
        <v>0.11000000000000001</v>
      </c>
      <c r="AA296" s="1">
        <v>317</v>
      </c>
      <c r="AB296" s="70" t="s">
        <v>9</v>
      </c>
      <c r="AC296" s="1"/>
      <c r="AD296" s="1"/>
      <c r="AE296" s="1"/>
    </row>
    <row r="297" spans="1:3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P297" s="1"/>
      <c r="Q297" s="1"/>
      <c r="R297" s="1"/>
      <c r="S297" s="1"/>
      <c r="T297" s="1"/>
      <c r="U297" s="1"/>
      <c r="V297" s="1"/>
      <c r="W297" s="1"/>
      <c r="X297" s="1"/>
      <c r="Y297" s="68" t="s">
        <v>552</v>
      </c>
      <c r="Z297" s="69">
        <v>0.11000000000000001</v>
      </c>
      <c r="AA297" s="1">
        <v>317</v>
      </c>
      <c r="AB297" s="70" t="s">
        <v>177</v>
      </c>
      <c r="AC297" s="1"/>
      <c r="AD297" s="1"/>
      <c r="AE297" s="1"/>
    </row>
    <row r="298" spans="1:3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P298" s="1"/>
      <c r="Q298" s="1"/>
      <c r="R298" s="1"/>
      <c r="S298" s="1"/>
      <c r="T298" s="1"/>
      <c r="U298" s="1"/>
      <c r="V298" s="1"/>
      <c r="W298" s="1"/>
      <c r="X298" s="1"/>
      <c r="Y298" s="68" t="s">
        <v>553</v>
      </c>
      <c r="Z298" s="69">
        <v>0.11000000000000001</v>
      </c>
      <c r="AA298" s="1">
        <v>317</v>
      </c>
      <c r="AB298" s="70" t="s">
        <v>9</v>
      </c>
      <c r="AC298" s="1"/>
      <c r="AD298" s="1"/>
      <c r="AE298" s="1"/>
    </row>
    <row r="299" spans="1:3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P299" s="1"/>
      <c r="Q299" s="1"/>
      <c r="R299" s="1"/>
      <c r="S299" s="1"/>
      <c r="T299" s="1"/>
      <c r="U299" s="1"/>
      <c r="V299" s="1"/>
      <c r="W299" s="1"/>
      <c r="X299" s="1"/>
      <c r="Y299" s="68" t="s">
        <v>554</v>
      </c>
      <c r="Z299" s="69">
        <v>0.10500000000000001</v>
      </c>
      <c r="AA299" s="1">
        <v>317</v>
      </c>
      <c r="AB299" s="70" t="s">
        <v>177</v>
      </c>
      <c r="AC299" s="1"/>
      <c r="AD299" s="1"/>
      <c r="AE299" s="1"/>
    </row>
    <row r="300" spans="1:3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P300" s="1"/>
      <c r="Q300" s="1"/>
      <c r="R300" s="1"/>
      <c r="S300" s="1"/>
      <c r="T300" s="1"/>
      <c r="U300" s="1"/>
      <c r="V300" s="1"/>
      <c r="W300" s="1"/>
      <c r="X300" s="1"/>
      <c r="Y300" s="68" t="s">
        <v>555</v>
      </c>
      <c r="Z300" s="69">
        <v>0.11000000000000001</v>
      </c>
      <c r="AA300" s="1">
        <v>317</v>
      </c>
      <c r="AB300" s="70" t="s">
        <v>177</v>
      </c>
      <c r="AC300" s="1"/>
      <c r="AD300" s="1"/>
      <c r="AE300" s="1"/>
    </row>
    <row r="301" spans="1:3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P301" s="1"/>
      <c r="Q301" s="1"/>
      <c r="R301" s="1"/>
      <c r="S301" s="1"/>
      <c r="T301" s="1"/>
      <c r="U301" s="1"/>
      <c r="V301" s="1"/>
      <c r="W301" s="1"/>
      <c r="X301" s="1"/>
      <c r="Y301" s="68" t="s">
        <v>556</v>
      </c>
      <c r="Z301" s="69">
        <v>0.11000000000000001</v>
      </c>
      <c r="AA301" s="1">
        <v>317</v>
      </c>
      <c r="AB301" s="70" t="s">
        <v>9</v>
      </c>
      <c r="AC301" s="1"/>
      <c r="AD301" s="1"/>
      <c r="AE301" s="1"/>
    </row>
    <row r="302" spans="1:3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P302" s="1"/>
      <c r="Q302" s="1"/>
      <c r="R302" s="1"/>
      <c r="S302" s="1"/>
      <c r="T302" s="1"/>
      <c r="U302" s="1"/>
      <c r="V302" s="1"/>
      <c r="W302" s="1"/>
      <c r="X302" s="1"/>
      <c r="Y302" s="68" t="s">
        <v>557</v>
      </c>
      <c r="Z302" s="69">
        <v>0.11000000000000001</v>
      </c>
      <c r="AA302" s="1">
        <v>317</v>
      </c>
      <c r="AB302" s="70" t="s">
        <v>177</v>
      </c>
      <c r="AC302" s="1"/>
      <c r="AD302" s="1"/>
      <c r="AE302" s="1"/>
    </row>
    <row r="303" spans="1:3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P303" s="1"/>
      <c r="Q303" s="1"/>
      <c r="R303" s="1"/>
      <c r="S303" s="1"/>
      <c r="T303" s="1"/>
      <c r="U303" s="1"/>
      <c r="V303" s="1"/>
      <c r="W303" s="1"/>
      <c r="X303" s="1"/>
      <c r="Y303" s="68" t="s">
        <v>558</v>
      </c>
      <c r="Z303" s="69">
        <v>0.11000000000000001</v>
      </c>
      <c r="AA303" s="1">
        <v>317</v>
      </c>
      <c r="AB303" s="70" t="s">
        <v>9</v>
      </c>
      <c r="AC303" s="1"/>
      <c r="AD303" s="1"/>
      <c r="AE303" s="1"/>
    </row>
    <row r="304" spans="1:3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P304" s="1"/>
      <c r="Q304" s="1"/>
      <c r="R304" s="1"/>
      <c r="S304" s="1"/>
      <c r="T304" s="1"/>
      <c r="U304" s="1"/>
      <c r="V304" s="1"/>
      <c r="W304" s="1"/>
      <c r="X304" s="1"/>
      <c r="Y304" s="68" t="s">
        <v>559</v>
      </c>
      <c r="Z304" s="69">
        <v>0.11000000000000001</v>
      </c>
      <c r="AA304" s="1">
        <v>317</v>
      </c>
      <c r="AB304" s="70" t="s">
        <v>177</v>
      </c>
      <c r="AC304" s="1"/>
      <c r="AD304" s="1"/>
      <c r="AE304" s="1"/>
    </row>
    <row r="305" spans="1:3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P305" s="1"/>
      <c r="Q305" s="1"/>
      <c r="R305" s="1"/>
      <c r="S305" s="1"/>
      <c r="T305" s="1"/>
      <c r="U305" s="1"/>
      <c r="V305" s="1"/>
      <c r="W305" s="1"/>
      <c r="X305" s="1"/>
      <c r="Y305" s="68" t="s">
        <v>560</v>
      </c>
      <c r="Z305" s="69">
        <v>0.11000000000000001</v>
      </c>
      <c r="AA305" s="1">
        <v>317</v>
      </c>
      <c r="AB305" s="70" t="s">
        <v>9</v>
      </c>
      <c r="AC305" s="1"/>
      <c r="AD305" s="1"/>
      <c r="AE305" s="1"/>
    </row>
    <row r="306" spans="1:3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P306" s="1"/>
      <c r="Q306" s="1"/>
      <c r="R306" s="1"/>
      <c r="S306" s="1"/>
      <c r="T306" s="1"/>
      <c r="U306" s="1"/>
      <c r="V306" s="1"/>
      <c r="W306" s="1"/>
      <c r="X306" s="1"/>
      <c r="Y306" s="68" t="s">
        <v>561</v>
      </c>
      <c r="Z306" s="69">
        <v>0.13500000000000001</v>
      </c>
      <c r="AA306" s="1">
        <v>317</v>
      </c>
      <c r="AB306" s="70" t="s">
        <v>177</v>
      </c>
      <c r="AC306" s="1"/>
      <c r="AD306" s="1"/>
      <c r="AE306" s="1"/>
    </row>
    <row r="307" spans="1:3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P307" s="1"/>
      <c r="Q307" s="1"/>
      <c r="R307" s="1"/>
      <c r="S307" s="1"/>
      <c r="T307" s="1"/>
      <c r="U307" s="1"/>
      <c r="V307" s="1"/>
      <c r="W307" s="1"/>
      <c r="X307" s="1"/>
      <c r="Y307" s="68" t="s">
        <v>562</v>
      </c>
      <c r="Z307" s="69">
        <v>0.13500000000000001</v>
      </c>
      <c r="AA307" s="1">
        <v>317</v>
      </c>
      <c r="AB307" s="70" t="s">
        <v>9</v>
      </c>
      <c r="AC307" s="1"/>
      <c r="AD307" s="1"/>
      <c r="AE307" s="1"/>
    </row>
    <row r="308" spans="1:3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P308" s="1"/>
      <c r="Q308" s="1"/>
      <c r="R308" s="1"/>
      <c r="S308" s="1"/>
      <c r="T308" s="1"/>
      <c r="U308" s="1"/>
      <c r="V308" s="1"/>
      <c r="W308" s="1"/>
      <c r="X308" s="1"/>
      <c r="Y308" s="68" t="s">
        <v>563</v>
      </c>
      <c r="Z308" s="69">
        <v>0.08</v>
      </c>
      <c r="AA308" s="1">
        <v>513</v>
      </c>
      <c r="AB308" s="70" t="s">
        <v>11</v>
      </c>
      <c r="AC308" s="1"/>
      <c r="AD308" s="1"/>
      <c r="AE308" s="1"/>
    </row>
    <row r="309" spans="1:3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P309" s="1"/>
      <c r="Q309" s="1"/>
      <c r="R309" s="1"/>
      <c r="S309" s="1"/>
      <c r="T309" s="1"/>
      <c r="U309" s="1"/>
      <c r="V309" s="1"/>
      <c r="W309" s="1"/>
      <c r="X309" s="1"/>
      <c r="Y309" s="68" t="s">
        <v>564</v>
      </c>
      <c r="Z309" s="69">
        <v>0.125</v>
      </c>
      <c r="AA309" s="1">
        <v>513</v>
      </c>
      <c r="AB309" s="70" t="s">
        <v>11</v>
      </c>
      <c r="AC309" s="1"/>
      <c r="AD309" s="1"/>
      <c r="AE309" s="1"/>
    </row>
    <row r="310" spans="1:3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P310" s="1"/>
      <c r="Q310" s="1"/>
      <c r="R310" s="1"/>
      <c r="S310" s="1"/>
      <c r="T310" s="1"/>
      <c r="U310" s="1"/>
      <c r="V310" s="1"/>
      <c r="W310" s="1"/>
      <c r="X310" s="1"/>
      <c r="Y310" s="68" t="s">
        <v>565</v>
      </c>
      <c r="Z310" s="69">
        <v>0.08</v>
      </c>
      <c r="AA310" s="1">
        <v>513</v>
      </c>
      <c r="AB310" s="70" t="s">
        <v>11</v>
      </c>
      <c r="AC310" s="1"/>
      <c r="AD310" s="1"/>
      <c r="AE310" s="1"/>
    </row>
    <row r="311" spans="1:3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P311" s="1"/>
      <c r="Q311" s="1"/>
      <c r="R311" s="1"/>
      <c r="S311" s="1"/>
      <c r="T311" s="1"/>
      <c r="U311" s="1"/>
      <c r="V311" s="1"/>
      <c r="W311" s="1"/>
      <c r="X311" s="1"/>
      <c r="Y311" s="68" t="s">
        <v>566</v>
      </c>
      <c r="Z311" s="69">
        <v>0.11000000000000001</v>
      </c>
      <c r="AA311" s="1">
        <v>317</v>
      </c>
      <c r="AB311" s="70" t="s">
        <v>177</v>
      </c>
      <c r="AC311" s="1"/>
      <c r="AD311" s="1"/>
      <c r="AE311" s="1"/>
    </row>
    <row r="312" spans="1:3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P312" s="1"/>
      <c r="Q312" s="1"/>
      <c r="R312" s="1"/>
      <c r="S312" s="1"/>
      <c r="T312" s="1"/>
      <c r="U312" s="1"/>
      <c r="V312" s="1"/>
      <c r="W312" s="1"/>
      <c r="X312" s="1"/>
      <c r="Y312" s="68" t="s">
        <v>567</v>
      </c>
      <c r="Z312" s="69">
        <v>0.11000000000000001</v>
      </c>
      <c r="AA312" s="1">
        <v>317</v>
      </c>
      <c r="AB312" s="70" t="s">
        <v>9</v>
      </c>
      <c r="AC312" s="1"/>
      <c r="AD312" s="1"/>
      <c r="AE312" s="1"/>
    </row>
    <row r="313" spans="1:3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P313" s="1"/>
      <c r="Q313" s="1"/>
      <c r="R313" s="1"/>
      <c r="S313" s="1"/>
      <c r="T313" s="1"/>
      <c r="U313" s="1"/>
      <c r="V313" s="1"/>
      <c r="W313" s="1"/>
      <c r="X313" s="1"/>
      <c r="Y313" s="68" t="s">
        <v>568</v>
      </c>
      <c r="Z313" s="69">
        <v>0.1</v>
      </c>
      <c r="AA313" s="1">
        <v>513</v>
      </c>
      <c r="AB313" s="70" t="s">
        <v>11</v>
      </c>
      <c r="AC313" s="1"/>
      <c r="AD313" s="1"/>
      <c r="AE313" s="1"/>
    </row>
    <row r="314" spans="1:3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P314" s="1"/>
      <c r="Q314" s="1"/>
      <c r="R314" s="1"/>
      <c r="S314" s="1"/>
      <c r="T314" s="1"/>
      <c r="U314" s="1"/>
      <c r="V314" s="1"/>
      <c r="W314" s="1"/>
      <c r="X314" s="1"/>
      <c r="Y314" s="68" t="s">
        <v>569</v>
      </c>
      <c r="Z314" s="69">
        <v>0.1</v>
      </c>
      <c r="AA314" s="1">
        <v>513</v>
      </c>
      <c r="AB314" s="70" t="s">
        <v>11</v>
      </c>
      <c r="AC314" s="1"/>
      <c r="AD314" s="1"/>
      <c r="AE314" s="1"/>
    </row>
    <row r="315" spans="1:3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P315" s="1"/>
      <c r="Q315" s="1"/>
      <c r="R315" s="1"/>
      <c r="S315" s="1"/>
      <c r="T315" s="1"/>
      <c r="U315" s="1"/>
      <c r="V315" s="1"/>
      <c r="W315" s="1"/>
      <c r="X315" s="1"/>
      <c r="Y315" s="68" t="s">
        <v>570</v>
      </c>
      <c r="Z315" s="69">
        <v>0.1</v>
      </c>
      <c r="AA315" s="1">
        <v>513</v>
      </c>
      <c r="AB315" s="70" t="s">
        <v>11</v>
      </c>
      <c r="AC315" s="1"/>
      <c r="AD315" s="1"/>
      <c r="AE315" s="1"/>
    </row>
    <row r="316" spans="1:3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P316" s="1"/>
      <c r="Q316" s="1"/>
      <c r="R316" s="1"/>
      <c r="S316" s="1"/>
      <c r="T316" s="1"/>
      <c r="U316" s="1"/>
      <c r="V316" s="1"/>
      <c r="W316" s="1"/>
      <c r="X316" s="1"/>
      <c r="Y316" s="68" t="s">
        <v>571</v>
      </c>
      <c r="Z316" s="69">
        <v>0.1</v>
      </c>
      <c r="AA316" s="1">
        <v>513</v>
      </c>
      <c r="AB316" s="70" t="s">
        <v>11</v>
      </c>
      <c r="AC316" s="1"/>
      <c r="AD316" s="1"/>
      <c r="AE316" s="1"/>
    </row>
    <row r="317" spans="1:3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P317" s="1"/>
      <c r="Q317" s="1"/>
      <c r="R317" s="1"/>
      <c r="S317" s="1"/>
      <c r="T317" s="1"/>
      <c r="U317" s="1"/>
      <c r="V317" s="1"/>
      <c r="W317" s="1"/>
      <c r="X317" s="1"/>
      <c r="Y317" s="68" t="s">
        <v>572</v>
      </c>
      <c r="Z317" s="69">
        <v>0.1</v>
      </c>
      <c r="AA317" s="1">
        <v>513</v>
      </c>
      <c r="AB317" s="70" t="s">
        <v>11</v>
      </c>
      <c r="AC317" s="1"/>
      <c r="AD317" s="1"/>
      <c r="AE317" s="1"/>
    </row>
    <row r="318" spans="1:3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P318" s="1"/>
      <c r="Q318" s="1"/>
      <c r="R318" s="1"/>
      <c r="S318" s="1"/>
      <c r="T318" s="1"/>
      <c r="U318" s="1"/>
      <c r="V318" s="1"/>
      <c r="W318" s="1"/>
      <c r="X318" s="1"/>
      <c r="Y318" s="68" t="s">
        <v>573</v>
      </c>
      <c r="Z318" s="69">
        <v>0.1</v>
      </c>
      <c r="AA318" s="1">
        <v>513</v>
      </c>
      <c r="AB318" s="70" t="s">
        <v>11</v>
      </c>
      <c r="AC318" s="1"/>
      <c r="AD318" s="1"/>
      <c r="AE318" s="1"/>
    </row>
    <row r="319" spans="1:3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P319" s="1"/>
      <c r="Q319" s="1"/>
      <c r="R319" s="1"/>
      <c r="S319" s="1"/>
      <c r="T319" s="1"/>
      <c r="U319" s="1"/>
      <c r="V319" s="1"/>
      <c r="W319" s="1"/>
      <c r="X319" s="1"/>
      <c r="Y319" s="68" t="s">
        <v>574</v>
      </c>
      <c r="Z319" s="69">
        <v>0.08</v>
      </c>
      <c r="AA319" s="1">
        <v>513</v>
      </c>
      <c r="AB319" s="70" t="s">
        <v>11</v>
      </c>
      <c r="AC319" s="1"/>
      <c r="AD319" s="1"/>
      <c r="AE319" s="1"/>
    </row>
    <row r="320" spans="1:3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P320" s="1"/>
      <c r="Q320" s="1"/>
      <c r="R320" s="1"/>
      <c r="S320" s="1"/>
      <c r="T320" s="1"/>
      <c r="U320" s="1"/>
      <c r="V320" s="1"/>
      <c r="W320" s="1"/>
      <c r="X320" s="1"/>
      <c r="Y320" s="68" t="s">
        <v>575</v>
      </c>
      <c r="Z320" s="69">
        <v>0.1</v>
      </c>
      <c r="AA320" s="1">
        <v>513</v>
      </c>
      <c r="AB320" s="70" t="s">
        <v>11</v>
      </c>
      <c r="AC320" s="1"/>
      <c r="AD320" s="1"/>
      <c r="AE320" s="1"/>
    </row>
    <row r="321" spans="1:3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P321" s="1"/>
      <c r="Q321" s="1"/>
      <c r="R321" s="1"/>
      <c r="S321" s="1"/>
      <c r="T321" s="1"/>
      <c r="U321" s="1"/>
      <c r="V321" s="1"/>
      <c r="W321" s="1"/>
      <c r="X321" s="1"/>
      <c r="Y321" s="68" t="s">
        <v>576</v>
      </c>
      <c r="Z321" s="69">
        <v>9.0000000000000011E-2</v>
      </c>
      <c r="AA321" s="1">
        <v>317</v>
      </c>
      <c r="AB321" s="70" t="s">
        <v>177</v>
      </c>
      <c r="AC321" s="1"/>
      <c r="AD321" s="1"/>
      <c r="AE321" s="1"/>
    </row>
    <row r="322" spans="1:3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P322" s="1"/>
      <c r="Q322" s="1"/>
      <c r="R322" s="1"/>
      <c r="S322" s="1"/>
      <c r="T322" s="1"/>
      <c r="U322" s="1"/>
      <c r="V322" s="1"/>
      <c r="W322" s="1"/>
      <c r="X322" s="1"/>
      <c r="Y322" s="68" t="s">
        <v>577</v>
      </c>
      <c r="Z322" s="69">
        <v>0.1</v>
      </c>
      <c r="AA322" s="1">
        <v>513</v>
      </c>
      <c r="AB322" s="70" t="s">
        <v>11</v>
      </c>
      <c r="AC322" s="1"/>
      <c r="AD322" s="1"/>
      <c r="AE322" s="1"/>
    </row>
    <row r="323" spans="1:3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P323" s="1"/>
      <c r="Q323" s="1"/>
      <c r="R323" s="1"/>
      <c r="S323" s="1"/>
      <c r="T323" s="1"/>
      <c r="U323" s="1"/>
      <c r="V323" s="1"/>
      <c r="W323" s="1"/>
      <c r="X323" s="1"/>
      <c r="Y323" s="68" t="s">
        <v>578</v>
      </c>
      <c r="Z323" s="69">
        <v>0.08</v>
      </c>
      <c r="AA323" s="1">
        <v>513</v>
      </c>
      <c r="AB323" s="70" t="s">
        <v>11</v>
      </c>
      <c r="AC323" s="1"/>
      <c r="AD323" s="1"/>
      <c r="AE323" s="1"/>
    </row>
    <row r="324" spans="1:3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P324" s="1"/>
      <c r="Q324" s="1"/>
      <c r="R324" s="1"/>
      <c r="S324" s="1"/>
      <c r="T324" s="1"/>
      <c r="U324" s="1"/>
      <c r="V324" s="1"/>
      <c r="W324" s="1"/>
      <c r="X324" s="1"/>
      <c r="Y324" s="68" t="s">
        <v>579</v>
      </c>
      <c r="Z324" s="69">
        <v>0.125</v>
      </c>
      <c r="AA324" s="1">
        <v>513</v>
      </c>
      <c r="AB324" s="70" t="s">
        <v>11</v>
      </c>
      <c r="AC324" s="1"/>
      <c r="AD324" s="1"/>
      <c r="AE324" s="1"/>
    </row>
    <row r="325" spans="1:3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P325" s="1"/>
      <c r="Q325" s="1"/>
      <c r="R325" s="1"/>
      <c r="S325" s="1"/>
      <c r="T325" s="1"/>
      <c r="U325" s="1"/>
      <c r="V325" s="1"/>
      <c r="W325" s="1"/>
      <c r="X325" s="1"/>
      <c r="Y325" s="68" t="s">
        <v>580</v>
      </c>
      <c r="Z325" s="69">
        <v>0.08</v>
      </c>
      <c r="AA325" s="1">
        <v>513</v>
      </c>
      <c r="AB325" s="70" t="s">
        <v>11</v>
      </c>
      <c r="AC325" s="1"/>
      <c r="AD325" s="1"/>
      <c r="AE325" s="1"/>
    </row>
    <row r="326" spans="1:3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P326" s="1"/>
      <c r="Q326" s="1"/>
      <c r="R326" s="1"/>
      <c r="S326" s="1"/>
      <c r="T326" s="1"/>
      <c r="U326" s="1"/>
      <c r="V326" s="1"/>
      <c r="W326" s="1"/>
      <c r="X326" s="1"/>
      <c r="Y326" s="68" t="s">
        <v>581</v>
      </c>
      <c r="Z326" s="69">
        <v>0.1</v>
      </c>
      <c r="AA326" s="1">
        <v>317</v>
      </c>
      <c r="AB326" s="70" t="s">
        <v>177</v>
      </c>
      <c r="AC326" s="1"/>
      <c r="AD326" s="1"/>
      <c r="AE326" s="1"/>
    </row>
    <row r="327" spans="1:3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P327" s="1"/>
      <c r="Q327" s="1"/>
      <c r="R327" s="1"/>
      <c r="S327" s="1"/>
      <c r="T327" s="1"/>
      <c r="U327" s="1"/>
      <c r="V327" s="1"/>
      <c r="W327" s="1"/>
      <c r="X327" s="1"/>
      <c r="Y327" s="68" t="s">
        <v>582</v>
      </c>
      <c r="Z327" s="69">
        <v>0.08</v>
      </c>
      <c r="AA327" s="1">
        <v>513</v>
      </c>
      <c r="AB327" s="70" t="s">
        <v>11</v>
      </c>
      <c r="AC327" s="1"/>
      <c r="AD327" s="1"/>
      <c r="AE327" s="1"/>
    </row>
    <row r="328" spans="1:3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P328" s="1"/>
      <c r="Q328" s="1"/>
      <c r="R328" s="1"/>
      <c r="S328" s="1"/>
      <c r="T328" s="1"/>
      <c r="U328" s="1"/>
      <c r="V328" s="1"/>
      <c r="W328" s="1"/>
      <c r="X328" s="1"/>
      <c r="Y328" s="68" t="s">
        <v>583</v>
      </c>
      <c r="Z328" s="69">
        <v>9.0000000000000011E-2</v>
      </c>
      <c r="AA328" s="1">
        <v>317</v>
      </c>
      <c r="AB328" s="70" t="s">
        <v>177</v>
      </c>
      <c r="AC328" s="1"/>
      <c r="AD328" s="1"/>
      <c r="AE328" s="1"/>
    </row>
    <row r="329" spans="1:3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P329" s="1"/>
      <c r="Q329" s="1"/>
      <c r="R329" s="1"/>
      <c r="S329" s="1"/>
      <c r="T329" s="1"/>
      <c r="U329" s="1"/>
      <c r="V329" s="1"/>
      <c r="W329" s="1"/>
      <c r="X329" s="1"/>
      <c r="Y329" s="68" t="s">
        <v>584</v>
      </c>
      <c r="Z329" s="69">
        <v>9.0000000000000011E-2</v>
      </c>
      <c r="AA329" s="1">
        <v>317</v>
      </c>
      <c r="AB329" s="70" t="s">
        <v>9</v>
      </c>
      <c r="AC329" s="1"/>
      <c r="AD329" s="1"/>
      <c r="AE329" s="1"/>
    </row>
    <row r="330" spans="1:3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P330" s="1"/>
      <c r="Q330" s="1"/>
      <c r="R330" s="1"/>
      <c r="S330" s="1"/>
      <c r="T330" s="1"/>
      <c r="U330" s="1"/>
      <c r="V330" s="1"/>
      <c r="W330" s="1"/>
      <c r="X330" s="1"/>
      <c r="Y330" s="68" t="s">
        <v>585</v>
      </c>
      <c r="Z330" s="69">
        <v>9.0000000000000011E-2</v>
      </c>
      <c r="AA330" s="1">
        <v>513</v>
      </c>
      <c r="AB330" s="70" t="s">
        <v>11</v>
      </c>
      <c r="AC330" s="1"/>
      <c r="AD330" s="1"/>
      <c r="AE330" s="1"/>
    </row>
    <row r="331" spans="1: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P331" s="1"/>
      <c r="Q331" s="1"/>
      <c r="R331" s="1"/>
      <c r="S331" s="1"/>
      <c r="T331" s="1"/>
      <c r="U331" s="1"/>
      <c r="V331" s="1"/>
      <c r="W331" s="1"/>
      <c r="X331" s="1"/>
      <c r="Y331" s="68" t="s">
        <v>586</v>
      </c>
      <c r="Z331" s="69">
        <v>0.10500000000000001</v>
      </c>
      <c r="AA331" s="1">
        <v>317</v>
      </c>
      <c r="AB331" s="70" t="s">
        <v>177</v>
      </c>
      <c r="AC331" s="1"/>
      <c r="AD331" s="1"/>
      <c r="AE331" s="1"/>
    </row>
    <row r="332" spans="1:3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P332" s="1"/>
      <c r="Q332" s="1"/>
      <c r="R332" s="1"/>
      <c r="S332" s="1"/>
      <c r="T332" s="1"/>
      <c r="U332" s="1"/>
      <c r="V332" s="1"/>
      <c r="W332" s="1"/>
      <c r="X332" s="1"/>
      <c r="Y332" s="68" t="s">
        <v>587</v>
      </c>
      <c r="Z332" s="69">
        <v>0.115</v>
      </c>
      <c r="AA332" s="1">
        <v>513</v>
      </c>
      <c r="AB332" s="70" t="s">
        <v>9</v>
      </c>
      <c r="AC332" s="1"/>
      <c r="AD332" s="1"/>
      <c r="AE332" s="1"/>
    </row>
    <row r="333" spans="1:3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P333" s="1"/>
      <c r="Q333" s="1"/>
      <c r="R333" s="1"/>
      <c r="S333" s="1"/>
      <c r="T333" s="1"/>
      <c r="U333" s="1"/>
      <c r="V333" s="1"/>
      <c r="W333" s="1"/>
      <c r="X333" s="1"/>
      <c r="Y333" s="68" t="s">
        <v>588</v>
      </c>
      <c r="Z333" s="69">
        <v>0.13</v>
      </c>
      <c r="AA333" s="1">
        <v>863</v>
      </c>
      <c r="AB333" s="70" t="s">
        <v>177</v>
      </c>
      <c r="AC333" s="1"/>
      <c r="AD333" s="1"/>
      <c r="AE333" s="1"/>
    </row>
    <row r="334" spans="1:3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P334" s="1"/>
      <c r="Q334" s="1"/>
      <c r="R334" s="1"/>
      <c r="S334" s="1"/>
      <c r="T334" s="1"/>
      <c r="U334" s="1"/>
      <c r="V334" s="1"/>
      <c r="W334" s="1"/>
      <c r="X334" s="1"/>
      <c r="Y334" s="68" t="s">
        <v>589</v>
      </c>
      <c r="Z334" s="69">
        <v>0.13</v>
      </c>
      <c r="AA334" s="1">
        <v>863</v>
      </c>
      <c r="AB334" s="70" t="s">
        <v>9</v>
      </c>
      <c r="AC334" s="1"/>
      <c r="AD334" s="1"/>
      <c r="AE334" s="1"/>
    </row>
    <row r="335" spans="1:3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P335" s="1"/>
      <c r="Q335" s="1"/>
      <c r="R335" s="1"/>
      <c r="S335" s="1"/>
      <c r="T335" s="1"/>
      <c r="U335" s="1"/>
      <c r="V335" s="1"/>
      <c r="W335" s="1"/>
      <c r="X335" s="1"/>
      <c r="Y335" s="68" t="s">
        <v>590</v>
      </c>
      <c r="Z335" s="69">
        <v>0.13</v>
      </c>
      <c r="AA335" s="1">
        <v>863</v>
      </c>
      <c r="AB335" s="70" t="s">
        <v>177</v>
      </c>
      <c r="AC335" s="1"/>
      <c r="AD335" s="1"/>
      <c r="AE335" s="1"/>
    </row>
    <row r="336" spans="1:3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P336" s="1"/>
      <c r="Q336" s="1"/>
      <c r="R336" s="1"/>
      <c r="S336" s="1"/>
      <c r="T336" s="1"/>
      <c r="U336" s="1"/>
      <c r="V336" s="1"/>
      <c r="W336" s="1"/>
      <c r="X336" s="1"/>
      <c r="Y336" s="68" t="s">
        <v>591</v>
      </c>
      <c r="Z336" s="69">
        <v>0.13</v>
      </c>
      <c r="AA336" s="1">
        <v>863</v>
      </c>
      <c r="AB336" s="70" t="s">
        <v>9</v>
      </c>
      <c r="AC336" s="1"/>
      <c r="AD336" s="1"/>
      <c r="AE336" s="1"/>
    </row>
    <row r="337" spans="1:3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P337" s="1"/>
      <c r="Q337" s="1"/>
      <c r="R337" s="1"/>
      <c r="S337" s="1"/>
      <c r="T337" s="1"/>
      <c r="U337" s="1"/>
      <c r="V337" s="1"/>
      <c r="W337" s="1"/>
      <c r="X337" s="1"/>
      <c r="Y337" s="68" t="s">
        <v>592</v>
      </c>
      <c r="Z337" s="69">
        <v>0.13</v>
      </c>
      <c r="AA337" s="1">
        <v>863</v>
      </c>
      <c r="AB337" s="70" t="s">
        <v>177</v>
      </c>
      <c r="AC337" s="1"/>
      <c r="AD337" s="1"/>
      <c r="AE337" s="1"/>
    </row>
    <row r="338" spans="1:3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P338" s="1"/>
      <c r="Q338" s="1"/>
      <c r="R338" s="1"/>
      <c r="S338" s="1"/>
      <c r="T338" s="1"/>
      <c r="U338" s="1"/>
      <c r="V338" s="1"/>
      <c r="W338" s="1"/>
      <c r="X338" s="1"/>
      <c r="Y338" s="68" t="s">
        <v>593</v>
      </c>
      <c r="Z338" s="69">
        <v>0.13</v>
      </c>
      <c r="AA338" s="1">
        <v>863</v>
      </c>
      <c r="AB338" s="70" t="s">
        <v>9</v>
      </c>
      <c r="AC338" s="1"/>
      <c r="AD338" s="1"/>
      <c r="AE338" s="1"/>
    </row>
    <row r="339" spans="1:3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P339" s="1"/>
      <c r="Q339" s="1"/>
      <c r="R339" s="1"/>
      <c r="S339" s="1"/>
      <c r="T339" s="1"/>
      <c r="U339" s="1"/>
      <c r="V339" s="1"/>
      <c r="W339" s="1"/>
      <c r="X339" s="1"/>
      <c r="Y339" s="68" t="s">
        <v>594</v>
      </c>
      <c r="Z339" s="69">
        <v>0.13</v>
      </c>
      <c r="AA339" s="1">
        <v>863</v>
      </c>
      <c r="AB339" s="70" t="s">
        <v>9</v>
      </c>
      <c r="AC339" s="1"/>
      <c r="AD339" s="1"/>
      <c r="AE339" s="1"/>
    </row>
    <row r="340" spans="1:3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P340" s="1"/>
      <c r="Q340" s="1"/>
      <c r="R340" s="1"/>
      <c r="S340" s="1"/>
      <c r="T340" s="1"/>
      <c r="U340" s="1"/>
      <c r="V340" s="1"/>
      <c r="W340" s="1"/>
      <c r="X340" s="1"/>
      <c r="Y340" s="68" t="s">
        <v>595</v>
      </c>
      <c r="Z340" s="69">
        <v>0.125</v>
      </c>
      <c r="AA340" s="1">
        <v>863</v>
      </c>
      <c r="AB340" s="70" t="s">
        <v>177</v>
      </c>
      <c r="AC340" s="1"/>
      <c r="AD340" s="1"/>
      <c r="AE340" s="1"/>
    </row>
    <row r="341" spans="1:3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P341" s="1"/>
      <c r="Q341" s="1"/>
      <c r="R341" s="1"/>
      <c r="S341" s="1"/>
      <c r="T341" s="1"/>
      <c r="U341" s="1"/>
      <c r="V341" s="1"/>
      <c r="W341" s="1"/>
      <c r="X341" s="1"/>
      <c r="Y341" s="68" t="s">
        <v>596</v>
      </c>
      <c r="Z341" s="69">
        <v>0.13</v>
      </c>
      <c r="AA341" s="1">
        <v>863</v>
      </c>
      <c r="AB341" s="70" t="s">
        <v>9</v>
      </c>
      <c r="AC341" s="1"/>
      <c r="AD341" s="1"/>
      <c r="AE341" s="1"/>
    </row>
    <row r="342" spans="1:3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P342" s="1"/>
      <c r="Q342" s="1"/>
      <c r="R342" s="1"/>
      <c r="S342" s="1"/>
      <c r="T342" s="1"/>
      <c r="U342" s="1"/>
      <c r="V342" s="1"/>
      <c r="W342" s="1"/>
      <c r="X342" s="1"/>
      <c r="Y342" s="68" t="s">
        <v>597</v>
      </c>
      <c r="Z342" s="69">
        <v>0.125</v>
      </c>
      <c r="AA342" s="1">
        <v>863</v>
      </c>
      <c r="AB342" s="70" t="s">
        <v>9</v>
      </c>
      <c r="AC342" s="1"/>
      <c r="AD342" s="1"/>
      <c r="AE342" s="1"/>
    </row>
    <row r="343" spans="1:3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P343" s="1"/>
      <c r="Q343" s="1"/>
      <c r="R343" s="1"/>
      <c r="S343" s="1"/>
      <c r="T343" s="1"/>
      <c r="U343" s="1"/>
      <c r="V343" s="1"/>
      <c r="W343" s="1"/>
      <c r="X343" s="1"/>
      <c r="Y343" s="68" t="s">
        <v>598</v>
      </c>
      <c r="Z343" s="69">
        <v>0.13</v>
      </c>
      <c r="AA343" s="1">
        <v>513</v>
      </c>
      <c r="AB343" s="70" t="s">
        <v>9</v>
      </c>
      <c r="AC343" s="1"/>
      <c r="AD343" s="1"/>
      <c r="AE343" s="1"/>
    </row>
    <row r="344" spans="1:3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P344" s="1"/>
      <c r="Q344" s="1"/>
      <c r="R344" s="1"/>
      <c r="S344" s="1"/>
      <c r="T344" s="1"/>
      <c r="U344" s="1"/>
      <c r="V344" s="1"/>
      <c r="W344" s="1"/>
      <c r="X344" s="1"/>
      <c r="Y344" s="68" t="s">
        <v>599</v>
      </c>
      <c r="Z344" s="69">
        <v>0.10500000000000001</v>
      </c>
      <c r="AA344" s="1">
        <v>317</v>
      </c>
      <c r="AB344" s="70" t="s">
        <v>177</v>
      </c>
      <c r="AC344" s="1"/>
      <c r="AD344" s="1"/>
      <c r="AE344" s="1"/>
    </row>
    <row r="345" spans="1:3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P345" s="1"/>
      <c r="Q345" s="1"/>
      <c r="R345" s="1"/>
      <c r="S345" s="1"/>
      <c r="T345" s="1"/>
      <c r="U345" s="1"/>
      <c r="V345" s="1"/>
      <c r="W345" s="1"/>
      <c r="X345" s="1"/>
      <c r="Y345" s="68" t="s">
        <v>600</v>
      </c>
      <c r="Z345" s="69">
        <v>3.7500000000000006E-2</v>
      </c>
      <c r="AA345" s="1">
        <v>0</v>
      </c>
      <c r="AB345" s="70" t="s">
        <v>11</v>
      </c>
      <c r="AC345" s="1"/>
      <c r="AD345" s="1"/>
      <c r="AE345" s="1"/>
    </row>
    <row r="346" spans="1:3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P346" s="1"/>
      <c r="Q346" s="1"/>
      <c r="R346" s="1"/>
      <c r="S346" s="1"/>
      <c r="T346" s="1"/>
      <c r="U346" s="1"/>
      <c r="V346" s="1"/>
      <c r="W346" s="1"/>
      <c r="X346" s="1"/>
      <c r="Y346" s="68" t="s">
        <v>601</v>
      </c>
      <c r="Z346" s="69">
        <v>6.0000000000000005E-2</v>
      </c>
      <c r="AA346" s="1">
        <v>317</v>
      </c>
      <c r="AB346" s="70" t="s">
        <v>9</v>
      </c>
      <c r="AC346" s="1"/>
      <c r="AD346" s="1"/>
      <c r="AE346" s="1"/>
    </row>
    <row r="347" spans="1:3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P347" s="1"/>
      <c r="Q347" s="1"/>
      <c r="R347" s="1"/>
      <c r="S347" s="1"/>
      <c r="T347" s="1"/>
      <c r="U347" s="1"/>
      <c r="V347" s="1"/>
      <c r="W347" s="1"/>
      <c r="X347" s="1"/>
      <c r="Y347" s="68" t="s">
        <v>602</v>
      </c>
      <c r="Z347" s="69">
        <v>3.7500000000000006E-2</v>
      </c>
      <c r="AA347" s="1">
        <v>0</v>
      </c>
      <c r="AB347" s="70" t="s">
        <v>11</v>
      </c>
      <c r="AC347" s="1"/>
      <c r="AD347" s="1"/>
      <c r="AE347" s="1"/>
    </row>
    <row r="348" spans="1:3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P348" s="1"/>
      <c r="Q348" s="1"/>
      <c r="R348" s="1"/>
      <c r="S348" s="1"/>
      <c r="T348" s="1"/>
      <c r="U348" s="1"/>
      <c r="V348" s="1"/>
      <c r="W348" s="1"/>
      <c r="X348" s="1"/>
      <c r="Y348" s="68" t="s">
        <v>603</v>
      </c>
      <c r="Z348" s="69">
        <v>0.08</v>
      </c>
      <c r="AA348" s="1">
        <v>513</v>
      </c>
      <c r="AB348" s="70" t="s">
        <v>11</v>
      </c>
      <c r="AC348" s="1"/>
      <c r="AD348" s="1"/>
      <c r="AE348" s="1"/>
    </row>
    <row r="349" spans="1:3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P349" s="1"/>
      <c r="Q349" s="1"/>
      <c r="R349" s="1"/>
      <c r="S349" s="1"/>
      <c r="T349" s="1"/>
      <c r="U349" s="1"/>
      <c r="V349" s="1"/>
      <c r="W349" s="1"/>
      <c r="X349" s="1"/>
      <c r="Y349" s="68" t="s">
        <v>604</v>
      </c>
      <c r="Z349" s="69">
        <v>3.7500000000000006E-2</v>
      </c>
      <c r="AA349" s="1">
        <v>0</v>
      </c>
      <c r="AB349" s="70" t="s">
        <v>11</v>
      </c>
      <c r="AC349" s="1"/>
      <c r="AD349" s="1"/>
      <c r="AE349" s="1"/>
    </row>
    <row r="350" spans="1:3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P350" s="1"/>
      <c r="Q350" s="1"/>
      <c r="R350" s="1"/>
      <c r="S350" s="1"/>
      <c r="T350" s="1"/>
      <c r="U350" s="1"/>
      <c r="V350" s="1"/>
      <c r="W350" s="1"/>
      <c r="X350" s="1"/>
      <c r="Y350" s="68" t="s">
        <v>605</v>
      </c>
      <c r="Z350" s="69">
        <v>6.0000000000000005E-2</v>
      </c>
      <c r="AA350" s="1">
        <v>317</v>
      </c>
      <c r="AB350" s="70" t="s">
        <v>9</v>
      </c>
      <c r="AC350" s="1"/>
      <c r="AD350" s="1"/>
      <c r="AE350" s="1"/>
    </row>
    <row r="351" spans="1:3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P351" s="1"/>
      <c r="Q351" s="1"/>
      <c r="R351" s="1"/>
      <c r="S351" s="1"/>
      <c r="T351" s="1"/>
      <c r="U351" s="1"/>
      <c r="V351" s="1"/>
      <c r="W351" s="1"/>
      <c r="X351" s="1"/>
      <c r="Y351" s="68" t="s">
        <v>606</v>
      </c>
      <c r="Z351" s="69">
        <v>9.5000000000000001E-2</v>
      </c>
      <c r="AA351" s="1">
        <v>513</v>
      </c>
      <c r="AB351" s="70" t="s">
        <v>11</v>
      </c>
      <c r="AC351" s="1"/>
      <c r="AD351" s="1"/>
      <c r="AE351" s="1"/>
    </row>
    <row r="352" spans="1:3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P352" s="1"/>
      <c r="Q352" s="1"/>
      <c r="R352" s="1"/>
      <c r="S352" s="1"/>
      <c r="T352" s="1"/>
      <c r="U352" s="1"/>
      <c r="V352" s="1"/>
      <c r="W352" s="1"/>
      <c r="X352" s="1"/>
      <c r="Y352" s="68" t="s">
        <v>607</v>
      </c>
      <c r="Z352" s="69">
        <v>0.08</v>
      </c>
      <c r="AA352" s="1">
        <v>513</v>
      </c>
      <c r="AB352" s="70" t="s">
        <v>11</v>
      </c>
      <c r="AC352" s="1"/>
      <c r="AD352" s="1"/>
      <c r="AE352" s="1"/>
    </row>
    <row r="353" spans="1:3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P353" s="1"/>
      <c r="Q353" s="1"/>
      <c r="R353" s="1"/>
      <c r="S353" s="1"/>
      <c r="T353" s="1"/>
      <c r="U353" s="1"/>
      <c r="V353" s="1"/>
      <c r="W353" s="1"/>
      <c r="X353" s="1"/>
      <c r="Y353" s="68" t="s">
        <v>608</v>
      </c>
      <c r="Z353" s="69">
        <v>0.08</v>
      </c>
      <c r="AA353" s="1">
        <v>513</v>
      </c>
      <c r="AB353" s="70" t="s">
        <v>11</v>
      </c>
      <c r="AC353" s="1"/>
      <c r="AD353" s="1"/>
      <c r="AE353" s="1"/>
    </row>
    <row r="354" spans="1:3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P354" s="1"/>
      <c r="Q354" s="1"/>
      <c r="R354" s="1"/>
      <c r="S354" s="1"/>
      <c r="T354" s="1"/>
      <c r="U354" s="1"/>
      <c r="V354" s="1"/>
      <c r="W354" s="1"/>
      <c r="X354" s="1"/>
      <c r="Y354" s="68" t="s">
        <v>609</v>
      </c>
      <c r="Z354" s="69">
        <v>3.7500000000000006E-2</v>
      </c>
      <c r="AA354" s="1">
        <v>0</v>
      </c>
      <c r="AB354" s="70" t="s">
        <v>11</v>
      </c>
      <c r="AC354" s="1"/>
      <c r="AD354" s="1"/>
      <c r="AE354" s="1"/>
    </row>
    <row r="355" spans="1:3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P355" s="1"/>
      <c r="Q355" s="1"/>
      <c r="R355" s="1"/>
      <c r="S355" s="1"/>
      <c r="T355" s="1"/>
      <c r="U355" s="1"/>
      <c r="V355" s="1"/>
      <c r="W355" s="1"/>
      <c r="X355" s="1"/>
      <c r="Y355" s="68" t="s">
        <v>610</v>
      </c>
      <c r="Z355" s="69">
        <v>3.7500000000000006E-2</v>
      </c>
      <c r="AA355" s="1">
        <v>0</v>
      </c>
      <c r="AB355" s="70" t="s">
        <v>11</v>
      </c>
      <c r="AC355" s="1"/>
      <c r="AD355" s="1"/>
      <c r="AE355" s="1"/>
    </row>
    <row r="356" spans="1:3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P356" s="1"/>
      <c r="Q356" s="1"/>
      <c r="R356" s="1"/>
      <c r="S356" s="1"/>
      <c r="T356" s="1"/>
      <c r="U356" s="1"/>
      <c r="V356" s="1"/>
      <c r="W356" s="1"/>
      <c r="X356" s="1"/>
      <c r="Y356" s="68" t="s">
        <v>611</v>
      </c>
      <c r="Z356" s="69">
        <v>9.0000000000000011E-2</v>
      </c>
      <c r="AA356" s="1">
        <v>513</v>
      </c>
      <c r="AB356" s="70" t="s">
        <v>11</v>
      </c>
      <c r="AC356" s="1"/>
      <c r="AD356" s="1"/>
      <c r="AE356" s="1"/>
    </row>
    <row r="357" spans="1:3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P357" s="1"/>
      <c r="Q357" s="1"/>
      <c r="R357" s="1"/>
      <c r="S357" s="1"/>
      <c r="T357" s="1"/>
      <c r="U357" s="1"/>
      <c r="V357" s="1"/>
      <c r="W357" s="1"/>
      <c r="X357" s="1"/>
      <c r="Y357" s="68" t="s">
        <v>612</v>
      </c>
      <c r="Z357" s="69">
        <v>9.0000000000000011E-2</v>
      </c>
      <c r="AA357" s="1">
        <v>513</v>
      </c>
      <c r="AB357" s="70" t="s">
        <v>11</v>
      </c>
      <c r="AC357" s="1"/>
      <c r="AD357" s="1"/>
      <c r="AE357" s="1"/>
    </row>
    <row r="358" spans="1:3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P358" s="1"/>
      <c r="Q358" s="1"/>
      <c r="R358" s="1"/>
      <c r="S358" s="1"/>
      <c r="T358" s="1"/>
      <c r="U358" s="1"/>
      <c r="V358" s="1"/>
      <c r="W358" s="1"/>
      <c r="X358" s="1"/>
      <c r="Y358" s="68" t="s">
        <v>613</v>
      </c>
      <c r="Z358" s="69">
        <v>0.08</v>
      </c>
      <c r="AA358" s="1">
        <v>513</v>
      </c>
      <c r="AB358" s="70" t="s">
        <v>11</v>
      </c>
      <c r="AC358" s="1"/>
      <c r="AD358" s="1"/>
      <c r="AE358" s="1"/>
    </row>
    <row r="359" spans="1:3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P359" s="1"/>
      <c r="Q359" s="1"/>
      <c r="R359" s="1"/>
      <c r="S359" s="1"/>
      <c r="T359" s="1"/>
      <c r="U359" s="1"/>
      <c r="V359" s="1"/>
      <c r="W359" s="1"/>
      <c r="X359" s="1"/>
      <c r="Y359" s="68" t="s">
        <v>614</v>
      </c>
      <c r="Z359" s="69">
        <v>0.08</v>
      </c>
      <c r="AA359" s="1">
        <v>513</v>
      </c>
      <c r="AB359" s="70" t="s">
        <v>11</v>
      </c>
      <c r="AC359" s="1"/>
      <c r="AD359" s="1"/>
      <c r="AE359" s="1"/>
    </row>
    <row r="360" spans="1:3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P360" s="1"/>
      <c r="Q360" s="1"/>
      <c r="R360" s="1"/>
      <c r="S360" s="1"/>
      <c r="T360" s="1"/>
      <c r="U360" s="1"/>
      <c r="V360" s="1"/>
      <c r="W360" s="1"/>
      <c r="X360" s="1"/>
      <c r="Y360" s="68" t="s">
        <v>615</v>
      </c>
      <c r="Z360" s="69">
        <v>3.7500000000000006E-2</v>
      </c>
      <c r="AA360" s="1">
        <v>0</v>
      </c>
      <c r="AB360" s="70" t="s">
        <v>11</v>
      </c>
      <c r="AC360" s="1"/>
      <c r="AD360" s="1"/>
      <c r="AE360" s="1"/>
    </row>
    <row r="361" spans="1:3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P361" s="1"/>
      <c r="Q361" s="1"/>
      <c r="R361" s="1"/>
      <c r="S361" s="1"/>
      <c r="T361" s="1"/>
      <c r="U361" s="1"/>
      <c r="V361" s="1"/>
      <c r="W361" s="1"/>
      <c r="X361" s="1"/>
      <c r="Y361" s="68" t="s">
        <v>616</v>
      </c>
      <c r="Z361" s="69">
        <v>3.7500000000000006E-2</v>
      </c>
      <c r="AA361" s="1">
        <v>0</v>
      </c>
      <c r="AB361" s="70" t="s">
        <v>11</v>
      </c>
      <c r="AC361" s="1"/>
      <c r="AD361" s="1"/>
      <c r="AE361" s="1"/>
    </row>
    <row r="362" spans="1:3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P362" s="1"/>
      <c r="Q362" s="1"/>
      <c r="R362" s="1"/>
      <c r="S362" s="1"/>
      <c r="T362" s="1"/>
      <c r="U362" s="1"/>
      <c r="V362" s="1"/>
      <c r="W362" s="1"/>
      <c r="X362" s="1"/>
      <c r="Y362" s="68" t="s">
        <v>617</v>
      </c>
      <c r="Z362" s="69">
        <v>0.1</v>
      </c>
      <c r="AA362" s="1">
        <v>513</v>
      </c>
      <c r="AB362" s="70" t="s">
        <v>11</v>
      </c>
      <c r="AC362" s="1"/>
      <c r="AD362" s="1"/>
      <c r="AE362" s="1"/>
    </row>
    <row r="363" spans="1:3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P363" s="1"/>
      <c r="Q363" s="1"/>
      <c r="R363" s="1"/>
      <c r="S363" s="1"/>
      <c r="T363" s="1"/>
      <c r="U363" s="1"/>
      <c r="V363" s="1"/>
      <c r="W363" s="1"/>
      <c r="X363" s="1"/>
      <c r="Y363" s="68" t="s">
        <v>618</v>
      </c>
      <c r="Z363" s="69">
        <v>0.08</v>
      </c>
      <c r="AA363" s="1">
        <v>513</v>
      </c>
      <c r="AB363" s="70" t="s">
        <v>11</v>
      </c>
      <c r="AC363" s="1"/>
      <c r="AD363" s="1"/>
      <c r="AE363" s="1"/>
    </row>
    <row r="364" spans="1:3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P364" s="1"/>
      <c r="Q364" s="1"/>
      <c r="R364" s="1"/>
      <c r="S364" s="1"/>
      <c r="T364" s="1"/>
      <c r="U364" s="1"/>
      <c r="V364" s="1"/>
      <c r="W364" s="1"/>
      <c r="X364" s="1"/>
      <c r="Y364" s="68" t="s">
        <v>619</v>
      </c>
      <c r="Z364" s="69">
        <v>0.1</v>
      </c>
      <c r="AA364" s="1">
        <v>513</v>
      </c>
      <c r="AB364" s="70" t="s">
        <v>11</v>
      </c>
      <c r="AC364" s="1"/>
      <c r="AD364" s="1"/>
      <c r="AE364" s="1"/>
    </row>
    <row r="365" spans="1:3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P365" s="1"/>
      <c r="Q365" s="1"/>
      <c r="R365" s="1"/>
      <c r="S365" s="1"/>
      <c r="T365" s="1"/>
      <c r="U365" s="1"/>
      <c r="V365" s="1"/>
      <c r="W365" s="1"/>
      <c r="X365" s="1"/>
      <c r="Y365" s="68" t="s">
        <v>620</v>
      </c>
      <c r="Z365" s="69">
        <v>0.05</v>
      </c>
      <c r="AA365" s="1">
        <v>513</v>
      </c>
      <c r="AB365" s="70" t="s">
        <v>11</v>
      </c>
      <c r="AC365" s="1"/>
      <c r="AD365" s="1"/>
      <c r="AE365" s="1"/>
    </row>
    <row r="366" spans="1:3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P366" s="1"/>
      <c r="Q366" s="1"/>
      <c r="R366" s="1"/>
      <c r="S366" s="1"/>
      <c r="T366" s="1"/>
      <c r="U366" s="1"/>
      <c r="V366" s="1"/>
      <c r="W366" s="1"/>
      <c r="X366" s="1"/>
      <c r="Y366" s="68" t="s">
        <v>621</v>
      </c>
      <c r="Z366" s="69">
        <v>3.7500000000000006E-2</v>
      </c>
      <c r="AA366" s="1">
        <v>0</v>
      </c>
      <c r="AB366" s="70" t="s">
        <v>11</v>
      </c>
      <c r="AC366" s="1"/>
      <c r="AD366" s="1"/>
      <c r="AE366" s="1"/>
    </row>
    <row r="367" spans="1:3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P367" s="1"/>
      <c r="Q367" s="1"/>
      <c r="R367" s="1"/>
      <c r="S367" s="1"/>
      <c r="T367" s="1"/>
      <c r="U367" s="1"/>
      <c r="V367" s="1"/>
      <c r="W367" s="1"/>
      <c r="X367" s="1"/>
      <c r="Y367" s="68" t="s">
        <v>622</v>
      </c>
      <c r="Z367" s="69">
        <v>0.13</v>
      </c>
      <c r="AA367" s="1">
        <v>863</v>
      </c>
      <c r="AB367" s="70" t="s">
        <v>177</v>
      </c>
      <c r="AC367" s="1"/>
      <c r="AD367" s="1"/>
      <c r="AE367" s="1"/>
    </row>
    <row r="368" spans="1:3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P368" s="1"/>
      <c r="Q368" s="1"/>
      <c r="R368" s="1"/>
      <c r="S368" s="1"/>
      <c r="T368" s="1"/>
      <c r="U368" s="1"/>
      <c r="V368" s="1"/>
      <c r="W368" s="1"/>
      <c r="X368" s="1"/>
      <c r="Y368" s="68" t="s">
        <v>623</v>
      </c>
      <c r="Z368" s="69">
        <v>0.15</v>
      </c>
      <c r="AA368" s="1">
        <v>863</v>
      </c>
      <c r="AB368" s="70" t="s">
        <v>9</v>
      </c>
      <c r="AC368" s="1"/>
      <c r="AD368" s="1"/>
      <c r="AE368" s="1"/>
    </row>
    <row r="369" spans="1:3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P369" s="1"/>
      <c r="Q369" s="1"/>
      <c r="R369" s="1"/>
      <c r="S369" s="1"/>
      <c r="T369" s="1"/>
      <c r="U369" s="1"/>
      <c r="V369" s="1"/>
      <c r="W369" s="1"/>
      <c r="X369" s="1"/>
      <c r="Y369" s="68" t="s">
        <v>624</v>
      </c>
      <c r="Z369" s="69">
        <v>0.13</v>
      </c>
      <c r="AA369" s="1">
        <v>513</v>
      </c>
      <c r="AB369" s="70" t="s">
        <v>177</v>
      </c>
      <c r="AC369" s="1"/>
      <c r="AD369" s="1"/>
      <c r="AE369" s="1"/>
    </row>
    <row r="370" spans="1:3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P370" s="1"/>
      <c r="Q370" s="1"/>
      <c r="R370" s="1"/>
      <c r="S370" s="1"/>
      <c r="T370" s="1"/>
      <c r="U370" s="1"/>
      <c r="V370" s="1"/>
      <c r="W370" s="1"/>
      <c r="X370" s="1"/>
      <c r="Y370" s="68" t="s">
        <v>625</v>
      </c>
      <c r="Z370" s="69">
        <v>0.13</v>
      </c>
      <c r="AA370" s="1">
        <v>513</v>
      </c>
      <c r="AB370" s="70" t="s">
        <v>9</v>
      </c>
      <c r="AC370" s="1"/>
      <c r="AD370" s="1"/>
      <c r="AE370" s="1"/>
    </row>
    <row r="371" spans="1:3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P371" s="1"/>
      <c r="Q371" s="1"/>
      <c r="R371" s="1"/>
      <c r="S371" s="1"/>
      <c r="T371" s="1"/>
      <c r="U371" s="1"/>
      <c r="V371" s="1"/>
      <c r="W371" s="1"/>
      <c r="X371" s="1"/>
      <c r="Y371" s="68" t="s">
        <v>626</v>
      </c>
      <c r="Z371" s="69">
        <v>0.13</v>
      </c>
      <c r="AA371" s="1">
        <v>513</v>
      </c>
      <c r="AB371" s="70" t="s">
        <v>177</v>
      </c>
      <c r="AC371" s="1"/>
      <c r="AD371" s="1"/>
      <c r="AE371" s="1"/>
    </row>
    <row r="372" spans="1:3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P372" s="1"/>
      <c r="Q372" s="1"/>
      <c r="R372" s="1"/>
      <c r="S372" s="1"/>
      <c r="T372" s="1"/>
      <c r="U372" s="1"/>
      <c r="V372" s="1"/>
      <c r="W372" s="1"/>
      <c r="X372" s="1"/>
      <c r="Y372" s="68" t="s">
        <v>627</v>
      </c>
      <c r="Z372" s="69">
        <v>0.13</v>
      </c>
      <c r="AA372" s="1">
        <v>513</v>
      </c>
      <c r="AB372" s="70" t="s">
        <v>9</v>
      </c>
      <c r="AC372" s="1"/>
      <c r="AD372" s="1"/>
      <c r="AE372" s="1"/>
    </row>
    <row r="373" spans="1:3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P373" s="1"/>
      <c r="Q373" s="1"/>
      <c r="R373" s="1"/>
      <c r="S373" s="1"/>
      <c r="T373" s="1"/>
      <c r="U373" s="1"/>
      <c r="V373" s="1"/>
      <c r="W373" s="1"/>
      <c r="X373" s="1"/>
      <c r="Y373" s="68" t="s">
        <v>628</v>
      </c>
      <c r="Z373" s="69">
        <v>0.13</v>
      </c>
      <c r="AA373" s="1">
        <v>513</v>
      </c>
      <c r="AB373" s="70" t="s">
        <v>177</v>
      </c>
      <c r="AC373" s="1"/>
      <c r="AD373" s="1"/>
      <c r="AE373" s="1"/>
    </row>
    <row r="374" spans="1:3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P374" s="1"/>
      <c r="Q374" s="1"/>
      <c r="R374" s="1"/>
      <c r="S374" s="1"/>
      <c r="T374" s="1"/>
      <c r="U374" s="1"/>
      <c r="V374" s="1"/>
      <c r="W374" s="1"/>
      <c r="X374" s="1"/>
      <c r="Y374" s="68" t="s">
        <v>629</v>
      </c>
      <c r="Z374" s="69">
        <v>0.13</v>
      </c>
      <c r="AA374" s="1">
        <v>513</v>
      </c>
      <c r="AB374" s="70" t="s">
        <v>9</v>
      </c>
      <c r="AC374" s="1"/>
      <c r="AD374" s="1"/>
      <c r="AE374" s="1"/>
    </row>
    <row r="375" spans="1:3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P375" s="1"/>
      <c r="Q375" s="1"/>
      <c r="R375" s="1"/>
      <c r="S375" s="1"/>
      <c r="T375" s="1"/>
      <c r="U375" s="1"/>
      <c r="V375" s="1"/>
      <c r="W375" s="1"/>
      <c r="X375" s="1"/>
      <c r="Y375" s="68" t="s">
        <v>630</v>
      </c>
      <c r="Z375" s="69">
        <v>0.13</v>
      </c>
      <c r="AA375" s="1">
        <v>863</v>
      </c>
      <c r="AB375" s="70" t="s">
        <v>177</v>
      </c>
      <c r="AC375" s="1"/>
      <c r="AD375" s="1"/>
      <c r="AE375" s="1"/>
    </row>
    <row r="376" spans="1:3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P376" s="1"/>
      <c r="Q376" s="1"/>
      <c r="R376" s="1"/>
      <c r="S376" s="1"/>
      <c r="T376" s="1"/>
      <c r="U376" s="1"/>
      <c r="V376" s="1"/>
      <c r="W376" s="1"/>
      <c r="X376" s="1"/>
      <c r="Y376" s="68" t="s">
        <v>631</v>
      </c>
      <c r="Z376" s="69">
        <v>0.13</v>
      </c>
      <c r="AA376" s="1">
        <v>863</v>
      </c>
      <c r="AB376" s="70" t="s">
        <v>9</v>
      </c>
      <c r="AC376" s="1"/>
      <c r="AD376" s="1"/>
      <c r="AE376" s="1"/>
    </row>
    <row r="377" spans="1:3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P377" s="1"/>
      <c r="Q377" s="1"/>
      <c r="R377" s="1"/>
      <c r="S377" s="1"/>
      <c r="T377" s="1"/>
      <c r="U377" s="1"/>
      <c r="V377" s="1"/>
      <c r="W377" s="1"/>
      <c r="X377" s="1"/>
      <c r="Y377" s="68" t="s">
        <v>855</v>
      </c>
      <c r="Z377" s="69">
        <v>0.15</v>
      </c>
      <c r="AA377" s="1">
        <v>513</v>
      </c>
      <c r="AB377" s="70" t="s">
        <v>9</v>
      </c>
      <c r="AC377" s="1"/>
      <c r="AD377" s="1"/>
      <c r="AE377" s="1"/>
    </row>
    <row r="378" spans="1:3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P378" s="1"/>
      <c r="Q378" s="1"/>
      <c r="R378" s="1"/>
      <c r="S378" s="1"/>
      <c r="T378" s="1"/>
      <c r="U378" s="1"/>
      <c r="V378" s="1"/>
      <c r="W378" s="1"/>
      <c r="X378" s="1"/>
      <c r="Y378" s="68" t="s">
        <v>807</v>
      </c>
      <c r="Z378" s="69">
        <v>0.14000000000000001</v>
      </c>
      <c r="AA378" s="1">
        <v>513</v>
      </c>
      <c r="AB378" s="70" t="s">
        <v>9</v>
      </c>
      <c r="AC378" s="1"/>
      <c r="AD378" s="1"/>
      <c r="AE378" s="1"/>
    </row>
    <row r="379" spans="1:3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P379" s="1"/>
      <c r="Q379" s="1"/>
      <c r="R379" s="1"/>
      <c r="S379" s="1"/>
      <c r="T379" s="1"/>
      <c r="U379" s="1"/>
      <c r="V379" s="1"/>
      <c r="W379" s="1"/>
      <c r="X379" s="1"/>
      <c r="Y379" s="68" t="s">
        <v>808</v>
      </c>
      <c r="Z379" s="69">
        <v>0.14000000000000001</v>
      </c>
      <c r="AA379" s="1">
        <v>513</v>
      </c>
      <c r="AB379" s="70" t="s">
        <v>177</v>
      </c>
      <c r="AC379" s="1"/>
      <c r="AD379" s="1"/>
      <c r="AE379" s="1"/>
    </row>
    <row r="380" spans="1:3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P380" s="1"/>
      <c r="Q380" s="1"/>
      <c r="R380" s="1"/>
      <c r="S380" s="1"/>
      <c r="T380" s="1"/>
      <c r="U380" s="1"/>
      <c r="V380" s="1"/>
      <c r="W380" s="1"/>
      <c r="X380" s="1"/>
      <c r="Y380" s="68" t="s">
        <v>632</v>
      </c>
      <c r="Z380" s="69">
        <v>0.13</v>
      </c>
      <c r="AA380" s="1">
        <v>513</v>
      </c>
      <c r="AB380" s="70" t="s">
        <v>9</v>
      </c>
      <c r="AC380" s="1"/>
      <c r="AD380" s="1"/>
      <c r="AE380" s="1"/>
    </row>
    <row r="381" spans="1:3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P381" s="1"/>
      <c r="Q381" s="1"/>
      <c r="R381" s="1"/>
      <c r="S381" s="1"/>
      <c r="T381" s="1"/>
      <c r="U381" s="1"/>
      <c r="V381" s="1"/>
      <c r="W381" s="1"/>
      <c r="X381" s="1"/>
      <c r="Y381" s="68" t="s">
        <v>633</v>
      </c>
      <c r="Z381" s="69">
        <v>0.13</v>
      </c>
      <c r="AA381" s="1">
        <v>863</v>
      </c>
      <c r="AB381" s="70" t="s">
        <v>9</v>
      </c>
      <c r="AC381" s="1"/>
      <c r="AD381" s="1"/>
      <c r="AE381" s="1"/>
    </row>
    <row r="382" spans="1:3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P382" s="1"/>
      <c r="Q382" s="1"/>
      <c r="R382" s="1"/>
      <c r="S382" s="1"/>
      <c r="T382" s="1"/>
      <c r="U382" s="1"/>
      <c r="V382" s="1"/>
      <c r="W382" s="1"/>
      <c r="X382" s="1"/>
      <c r="Y382" s="68" t="s">
        <v>634</v>
      </c>
      <c r="Z382" s="69">
        <v>0.115</v>
      </c>
      <c r="AA382" s="1">
        <v>863</v>
      </c>
      <c r="AB382" s="70" t="s">
        <v>9</v>
      </c>
      <c r="AC382" s="1"/>
      <c r="AD382" s="1"/>
      <c r="AE382" s="1"/>
    </row>
    <row r="383" spans="1:3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P383" s="1"/>
      <c r="Q383" s="1"/>
      <c r="R383" s="1"/>
      <c r="S383" s="1"/>
      <c r="T383" s="1"/>
      <c r="U383" s="1"/>
      <c r="V383" s="1"/>
      <c r="W383" s="1"/>
      <c r="X383" s="1"/>
      <c r="Y383" s="68" t="s">
        <v>635</v>
      </c>
      <c r="Z383" s="69">
        <v>0.115</v>
      </c>
      <c r="AA383" s="1">
        <v>863</v>
      </c>
      <c r="AB383" s="70" t="s">
        <v>177</v>
      </c>
      <c r="AC383" s="1"/>
      <c r="AD383" s="1"/>
      <c r="AE383" s="1"/>
    </row>
    <row r="384" spans="1:3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P384" s="1"/>
      <c r="Q384" s="1"/>
      <c r="R384" s="1"/>
      <c r="S384" s="1"/>
      <c r="T384" s="1"/>
      <c r="U384" s="1"/>
      <c r="V384" s="1"/>
      <c r="W384" s="1"/>
      <c r="X384" s="1"/>
      <c r="Y384" s="68" t="s">
        <v>636</v>
      </c>
      <c r="Z384" s="69">
        <v>0.115</v>
      </c>
      <c r="AA384" s="1">
        <v>317</v>
      </c>
      <c r="AB384" s="70" t="s">
        <v>9</v>
      </c>
      <c r="AC384" s="1"/>
      <c r="AD384" s="1"/>
      <c r="AE384" s="1"/>
    </row>
    <row r="385" spans="1:3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P385" s="1"/>
      <c r="Q385" s="1"/>
      <c r="R385" s="1"/>
      <c r="S385" s="1"/>
      <c r="T385" s="1"/>
      <c r="U385" s="1"/>
      <c r="V385" s="1"/>
      <c r="W385" s="1"/>
      <c r="X385" s="1"/>
      <c r="Y385" s="68" t="s">
        <v>637</v>
      </c>
      <c r="Z385" s="69">
        <v>0.11000000000000001</v>
      </c>
      <c r="AA385" s="1">
        <v>317</v>
      </c>
      <c r="AB385" s="70" t="s">
        <v>9</v>
      </c>
      <c r="AC385" s="1"/>
      <c r="AD385" s="1"/>
      <c r="AE385" s="1"/>
    </row>
    <row r="386" spans="1:3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P386" s="1"/>
      <c r="Q386" s="1"/>
      <c r="R386" s="1"/>
      <c r="S386" s="1"/>
      <c r="T386" s="1"/>
      <c r="U386" s="1"/>
      <c r="V386" s="1"/>
      <c r="W386" s="1"/>
      <c r="X386" s="1"/>
      <c r="Y386" s="68" t="s">
        <v>638</v>
      </c>
      <c r="Z386" s="69">
        <v>0.11000000000000001</v>
      </c>
      <c r="AA386" s="1">
        <v>317</v>
      </c>
      <c r="AB386" s="70" t="s">
        <v>9</v>
      </c>
      <c r="AC386" s="1"/>
      <c r="AD386" s="1"/>
      <c r="AE386" s="1"/>
    </row>
    <row r="387" spans="1:3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P387" s="1"/>
      <c r="Q387" s="1"/>
      <c r="R387" s="1"/>
      <c r="S387" s="1"/>
      <c r="T387" s="1"/>
      <c r="U387" s="1"/>
      <c r="V387" s="1"/>
      <c r="W387" s="1"/>
      <c r="X387" s="1"/>
      <c r="Y387" s="68" t="s">
        <v>639</v>
      </c>
      <c r="Z387" s="69">
        <v>0.11000000000000001</v>
      </c>
      <c r="AA387" s="1">
        <v>317</v>
      </c>
      <c r="AB387" s="70" t="s">
        <v>177</v>
      </c>
      <c r="AC387" s="1"/>
      <c r="AD387" s="1"/>
      <c r="AE387" s="1"/>
    </row>
    <row r="388" spans="1:3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P388" s="1"/>
      <c r="Q388" s="1"/>
      <c r="R388" s="1"/>
      <c r="S388" s="1"/>
      <c r="T388" s="1"/>
      <c r="U388" s="1"/>
      <c r="V388" s="1"/>
      <c r="W388" s="1"/>
      <c r="X388" s="1"/>
      <c r="Y388" s="68" t="s">
        <v>640</v>
      </c>
      <c r="Z388" s="69">
        <v>0.08</v>
      </c>
      <c r="AA388" s="1">
        <v>863</v>
      </c>
      <c r="AB388" s="70" t="s">
        <v>177</v>
      </c>
      <c r="AC388" s="1"/>
      <c r="AD388" s="1"/>
      <c r="AE388" s="1"/>
    </row>
    <row r="389" spans="1:3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P389" s="1"/>
      <c r="Q389" s="1"/>
      <c r="R389" s="1"/>
      <c r="S389" s="1"/>
      <c r="T389" s="1"/>
      <c r="U389" s="1"/>
      <c r="V389" s="1"/>
      <c r="W389" s="1"/>
      <c r="X389" s="1"/>
      <c r="Y389" s="68" t="s">
        <v>641</v>
      </c>
      <c r="Z389" s="69">
        <v>0.13500000000000001</v>
      </c>
      <c r="AA389" s="1">
        <v>863</v>
      </c>
      <c r="AB389" s="70" t="s">
        <v>9</v>
      </c>
      <c r="AC389" s="1"/>
      <c r="AD389" s="1"/>
      <c r="AE389" s="1"/>
    </row>
    <row r="390" spans="1:3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P390" s="1"/>
      <c r="Q390" s="1"/>
      <c r="R390" s="1"/>
      <c r="S390" s="1"/>
      <c r="T390" s="1"/>
      <c r="U390" s="1"/>
      <c r="V390" s="1"/>
      <c r="W390" s="1"/>
      <c r="X390" s="1"/>
      <c r="Y390" s="68" t="s">
        <v>642</v>
      </c>
      <c r="Z390" s="71">
        <v>0.13500000000000001</v>
      </c>
      <c r="AA390" s="1">
        <v>317</v>
      </c>
      <c r="AB390" s="70" t="s">
        <v>177</v>
      </c>
      <c r="AC390" s="1"/>
      <c r="AD390" s="1"/>
      <c r="AE390" s="1"/>
    </row>
    <row r="391" spans="1:3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P391" s="1"/>
      <c r="Q391" s="1"/>
      <c r="R391" s="1"/>
      <c r="S391" s="1"/>
      <c r="T391" s="1"/>
      <c r="U391" s="1"/>
      <c r="V391" s="1"/>
      <c r="W391" s="1"/>
      <c r="X391" s="1"/>
      <c r="Y391" s="68" t="s">
        <v>643</v>
      </c>
      <c r="Z391" s="69">
        <v>0.13500000000000001</v>
      </c>
      <c r="AA391" s="1">
        <v>317</v>
      </c>
      <c r="AB391" s="70" t="s">
        <v>9</v>
      </c>
      <c r="AC391" s="1"/>
      <c r="AD391" s="1"/>
      <c r="AE391" s="1"/>
    </row>
    <row r="392" spans="1:3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P392" s="1"/>
      <c r="Q392" s="1"/>
      <c r="R392" s="1"/>
      <c r="S392" s="1"/>
      <c r="T392" s="1"/>
      <c r="U392" s="1"/>
      <c r="V392" s="1"/>
      <c r="W392" s="1"/>
      <c r="X392" s="1"/>
      <c r="Y392" s="68" t="s">
        <v>206</v>
      </c>
      <c r="Z392" s="69">
        <v>0.08</v>
      </c>
      <c r="AA392" s="1">
        <v>0</v>
      </c>
      <c r="AB392" s="70" t="s">
        <v>177</v>
      </c>
      <c r="AC392" s="1"/>
      <c r="AD392" s="1"/>
      <c r="AE392" s="1"/>
    </row>
    <row r="393" spans="1:3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P393" s="1"/>
      <c r="Q393" s="1"/>
      <c r="R393" s="1"/>
      <c r="S393" s="1"/>
      <c r="T393" s="1"/>
      <c r="U393" s="1"/>
      <c r="V393" s="1"/>
      <c r="W393" s="1"/>
      <c r="X393" s="1"/>
      <c r="Y393" s="68" t="s">
        <v>207</v>
      </c>
      <c r="Z393" s="69">
        <v>0.01</v>
      </c>
      <c r="AA393" s="1">
        <v>0</v>
      </c>
      <c r="AB393" s="70" t="s">
        <v>177</v>
      </c>
      <c r="AC393" s="1"/>
      <c r="AD393" s="1"/>
      <c r="AE393" s="1"/>
    </row>
    <row r="394" spans="1:3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P394" s="1"/>
      <c r="Q394" s="1"/>
      <c r="R394" s="1"/>
      <c r="S394" s="1"/>
      <c r="T394" s="1"/>
      <c r="U394" s="1"/>
      <c r="V394" s="1"/>
      <c r="W394" s="1"/>
      <c r="X394" s="1"/>
      <c r="Y394" s="68" t="s">
        <v>208</v>
      </c>
      <c r="Z394" s="69">
        <v>0.01</v>
      </c>
      <c r="AA394" s="1">
        <v>0</v>
      </c>
      <c r="AB394" s="70" t="s">
        <v>9</v>
      </c>
      <c r="AC394" s="1"/>
      <c r="AD394" s="1"/>
      <c r="AE394" s="1"/>
    </row>
    <row r="395" spans="1:3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P395" s="1"/>
      <c r="Q395" s="1"/>
      <c r="R395" s="1"/>
      <c r="S395" s="1"/>
      <c r="T395" s="1"/>
      <c r="U395" s="1"/>
      <c r="V395" s="1"/>
      <c r="W395" s="1"/>
      <c r="X395" s="1"/>
      <c r="Y395" s="68" t="s">
        <v>209</v>
      </c>
      <c r="Z395" s="69">
        <v>0</v>
      </c>
      <c r="AA395" s="1">
        <v>0</v>
      </c>
      <c r="AB395" s="70" t="s">
        <v>177</v>
      </c>
      <c r="AC395" s="1"/>
      <c r="AD395" s="1"/>
      <c r="AE395" s="1"/>
    </row>
    <row r="396" spans="1:3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P396" s="1"/>
      <c r="Q396" s="1"/>
      <c r="R396" s="1"/>
      <c r="S396" s="1"/>
      <c r="T396" s="1"/>
      <c r="U396" s="1"/>
      <c r="V396" s="1"/>
      <c r="W396" s="1"/>
      <c r="X396" s="1"/>
      <c r="Y396" s="68" t="s">
        <v>210</v>
      </c>
      <c r="Z396" s="69">
        <v>0.16</v>
      </c>
      <c r="AA396" s="1">
        <v>0</v>
      </c>
      <c r="AB396" s="70" t="s">
        <v>9</v>
      </c>
      <c r="AC396" s="1"/>
      <c r="AD396" s="1"/>
      <c r="AE396" s="1"/>
    </row>
    <row r="397" spans="1:3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P397" s="1"/>
      <c r="Q397" s="1"/>
      <c r="R397" s="1"/>
      <c r="S397" s="1"/>
      <c r="T397" s="1"/>
      <c r="U397" s="1"/>
      <c r="V397" s="1"/>
      <c r="W397" s="1"/>
      <c r="X397" s="1"/>
      <c r="Y397" s="68" t="s">
        <v>211</v>
      </c>
      <c r="Z397" s="69">
        <v>0.16</v>
      </c>
      <c r="AA397" s="1">
        <v>0</v>
      </c>
      <c r="AB397" s="70" t="s">
        <v>177</v>
      </c>
      <c r="AC397" s="1"/>
      <c r="AD397" s="1"/>
      <c r="AE397" s="1"/>
    </row>
    <row r="398" spans="1:3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P398" s="1"/>
      <c r="Q398" s="1"/>
      <c r="R398" s="1"/>
      <c r="S398" s="1"/>
      <c r="T398" s="1"/>
      <c r="U398" s="1"/>
      <c r="V398" s="1"/>
      <c r="W398" s="1"/>
      <c r="X398" s="1"/>
      <c r="Y398" s="68" t="s">
        <v>212</v>
      </c>
      <c r="Z398" s="69">
        <v>0.08</v>
      </c>
      <c r="AA398" s="1">
        <v>0</v>
      </c>
      <c r="AB398" s="70" t="s">
        <v>9</v>
      </c>
      <c r="AC398" s="1"/>
      <c r="AD398" s="1"/>
      <c r="AE398" s="1"/>
    </row>
    <row r="399" spans="1:3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P399" s="1"/>
      <c r="Q399" s="1"/>
      <c r="R399" s="1"/>
      <c r="S399" s="1"/>
      <c r="T399" s="1"/>
      <c r="U399" s="1"/>
      <c r="V399" s="1"/>
      <c r="W399" s="1"/>
      <c r="X399" s="1"/>
      <c r="Y399" s="68" t="s">
        <v>213</v>
      </c>
      <c r="Z399" s="69">
        <v>0</v>
      </c>
      <c r="AA399" s="1">
        <v>0</v>
      </c>
      <c r="AB399" s="70" t="s">
        <v>177</v>
      </c>
      <c r="AC399" s="1"/>
      <c r="AD399" s="1"/>
      <c r="AE399" s="1"/>
    </row>
    <row r="400" spans="1:3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P400" s="1"/>
      <c r="Q400" s="1"/>
      <c r="R400" s="1"/>
      <c r="S400" s="1"/>
      <c r="T400" s="1"/>
      <c r="U400" s="1"/>
      <c r="V400" s="1"/>
      <c r="W400" s="1"/>
      <c r="X400" s="1"/>
      <c r="Y400" s="68" t="s">
        <v>214</v>
      </c>
      <c r="Z400" s="69">
        <v>0</v>
      </c>
      <c r="AA400" s="1">
        <v>0</v>
      </c>
      <c r="AB400" s="70" t="s">
        <v>9</v>
      </c>
      <c r="AC400" s="1"/>
      <c r="AD400" s="1"/>
      <c r="AE400" s="1"/>
    </row>
    <row r="401" spans="1:3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P401" s="1"/>
      <c r="Q401" s="1"/>
      <c r="R401" s="1"/>
      <c r="S401" s="1"/>
      <c r="T401" s="1"/>
      <c r="U401" s="1"/>
      <c r="V401" s="1"/>
      <c r="W401" s="1"/>
      <c r="X401" s="1"/>
      <c r="Y401" s="68" t="s">
        <v>215</v>
      </c>
      <c r="Z401" s="69">
        <v>0</v>
      </c>
      <c r="AA401" s="1">
        <v>0</v>
      </c>
      <c r="AB401" s="70" t="s">
        <v>177</v>
      </c>
      <c r="AC401" s="1"/>
      <c r="AD401" s="1"/>
      <c r="AE401" s="1"/>
    </row>
    <row r="402" spans="1:3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P402" s="1"/>
      <c r="Q402" s="1"/>
      <c r="R402" s="1"/>
      <c r="S402" s="1"/>
      <c r="T402" s="1"/>
      <c r="U402" s="1"/>
      <c r="V402" s="1"/>
      <c r="W402" s="1"/>
      <c r="X402" s="1"/>
      <c r="Y402" s="68" t="s">
        <v>216</v>
      </c>
      <c r="Z402" s="69">
        <v>0</v>
      </c>
      <c r="AA402" s="1">
        <v>0</v>
      </c>
      <c r="AB402" s="70" t="s">
        <v>9</v>
      </c>
      <c r="AC402" s="1"/>
      <c r="AD402" s="1"/>
      <c r="AE402" s="1"/>
    </row>
    <row r="403" spans="1:3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P403" s="1"/>
      <c r="Q403" s="1"/>
      <c r="R403" s="1"/>
      <c r="S403" s="1"/>
      <c r="T403" s="1"/>
      <c r="U403" s="1"/>
      <c r="V403" s="1"/>
      <c r="W403" s="1"/>
      <c r="X403" s="1"/>
      <c r="Y403" s="68" t="s">
        <v>217</v>
      </c>
      <c r="Z403" s="69">
        <v>0</v>
      </c>
      <c r="AA403" s="1">
        <v>0</v>
      </c>
      <c r="AB403" s="70" t="s">
        <v>177</v>
      </c>
      <c r="AC403" s="1"/>
      <c r="AD403" s="1"/>
      <c r="AE403" s="1"/>
    </row>
    <row r="404" spans="1:3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P404" s="1"/>
      <c r="Q404" s="1"/>
      <c r="R404" s="1"/>
      <c r="S404" s="1"/>
      <c r="T404" s="1"/>
      <c r="U404" s="1"/>
      <c r="V404" s="1"/>
      <c r="W404" s="1"/>
      <c r="X404" s="1"/>
      <c r="Y404" s="68" t="s">
        <v>218</v>
      </c>
      <c r="Z404" s="69">
        <v>0</v>
      </c>
      <c r="AA404" s="1">
        <v>0</v>
      </c>
      <c r="AB404" s="70" t="s">
        <v>9</v>
      </c>
      <c r="AC404" s="1"/>
      <c r="AD404" s="1"/>
      <c r="AE404" s="1"/>
    </row>
    <row r="405" spans="1:3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P405" s="1"/>
      <c r="Q405" s="1"/>
      <c r="R405" s="1"/>
      <c r="S405" s="1"/>
      <c r="T405" s="1"/>
      <c r="U405" s="1"/>
      <c r="V405" s="1"/>
      <c r="W405" s="1"/>
      <c r="X405" s="1"/>
      <c r="Y405" s="68" t="s">
        <v>219</v>
      </c>
      <c r="Z405" s="69">
        <v>0.08</v>
      </c>
      <c r="AA405" s="1">
        <v>0</v>
      </c>
      <c r="AB405" s="70" t="s">
        <v>9</v>
      </c>
      <c r="AC405" s="1"/>
      <c r="AD405" s="1"/>
      <c r="AE405" s="1"/>
    </row>
    <row r="406" spans="1:3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P406" s="1"/>
      <c r="Q406" s="1"/>
      <c r="R406" s="1"/>
      <c r="S406" s="1"/>
      <c r="T406" s="1"/>
      <c r="U406" s="1"/>
      <c r="V406" s="1"/>
      <c r="W406" s="1"/>
      <c r="X406" s="1"/>
      <c r="Y406" s="68" t="s">
        <v>220</v>
      </c>
      <c r="Z406" s="69">
        <v>0.04</v>
      </c>
      <c r="AA406" s="1">
        <v>0</v>
      </c>
      <c r="AB406" s="70" t="s">
        <v>11</v>
      </c>
      <c r="AC406" s="1"/>
      <c r="AD406" s="1"/>
      <c r="AE406" s="1"/>
    </row>
    <row r="407" spans="1:3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P407" s="1"/>
      <c r="Q407" s="1"/>
      <c r="R407" s="1"/>
      <c r="S407" s="1"/>
      <c r="T407" s="1"/>
      <c r="U407" s="1"/>
      <c r="V407" s="1"/>
      <c r="W407" s="1"/>
      <c r="X407" s="1"/>
      <c r="Y407" s="68" t="s">
        <v>221</v>
      </c>
      <c r="Z407" s="69">
        <v>0.08</v>
      </c>
      <c r="AA407" s="1">
        <v>0</v>
      </c>
      <c r="AB407" s="70" t="s">
        <v>11</v>
      </c>
      <c r="AC407" s="1"/>
      <c r="AD407" s="1"/>
      <c r="AE407" s="1"/>
    </row>
    <row r="408" spans="1:3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P408" s="1"/>
      <c r="Q408" s="1"/>
      <c r="R408" s="1"/>
      <c r="S408" s="1"/>
      <c r="T408" s="1"/>
      <c r="U408" s="1"/>
      <c r="V408" s="1"/>
      <c r="W408" s="1"/>
      <c r="X408" s="1"/>
      <c r="Y408" s="68" t="s">
        <v>222</v>
      </c>
      <c r="Z408" s="69">
        <v>0</v>
      </c>
      <c r="AA408" s="1">
        <v>0</v>
      </c>
      <c r="AB408" s="70" t="s">
        <v>177</v>
      </c>
      <c r="AC408" s="1"/>
      <c r="AD408" s="1"/>
      <c r="AE408" s="1"/>
    </row>
    <row r="409" spans="1:3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P409" s="1"/>
      <c r="Q409" s="1"/>
      <c r="R409" s="1"/>
      <c r="S409" s="1"/>
      <c r="T409" s="1"/>
      <c r="U409" s="1"/>
      <c r="V409" s="1"/>
      <c r="W409" s="1"/>
      <c r="X409" s="1"/>
      <c r="Y409" s="68" t="s">
        <v>223</v>
      </c>
      <c r="Z409" s="69">
        <v>0</v>
      </c>
      <c r="AA409" s="1">
        <v>0</v>
      </c>
      <c r="AB409" s="70" t="s">
        <v>9</v>
      </c>
      <c r="AC409" s="1"/>
      <c r="AD409" s="1"/>
      <c r="AE409" s="1"/>
    </row>
    <row r="410" spans="1:3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P410" s="1"/>
      <c r="Q410" s="1"/>
      <c r="R410" s="1"/>
      <c r="S410" s="1"/>
      <c r="T410" s="1"/>
      <c r="U410" s="1"/>
      <c r="V410" s="1"/>
      <c r="W410" s="1"/>
      <c r="X410" s="1"/>
      <c r="Y410" s="68" t="s">
        <v>224</v>
      </c>
      <c r="Z410" s="69">
        <v>0</v>
      </c>
      <c r="AA410" s="1">
        <v>0</v>
      </c>
      <c r="AB410" s="70" t="s">
        <v>9</v>
      </c>
      <c r="AC410" s="1"/>
      <c r="AD410" s="1"/>
      <c r="AE410" s="1"/>
    </row>
    <row r="411" spans="1:3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P411" s="1"/>
      <c r="Q411" s="1"/>
      <c r="R411" s="1"/>
      <c r="S411" s="1"/>
      <c r="T411" s="1"/>
      <c r="U411" s="1"/>
      <c r="V411" s="1"/>
      <c r="W411" s="1"/>
      <c r="X411" s="1"/>
      <c r="Y411" s="68" t="s">
        <v>177</v>
      </c>
      <c r="Z411" s="69">
        <v>0</v>
      </c>
      <c r="AA411" s="1">
        <v>0</v>
      </c>
      <c r="AB411" s="70" t="s">
        <v>11</v>
      </c>
      <c r="AC411" s="1"/>
      <c r="AD411" s="1"/>
      <c r="AE411" s="1"/>
    </row>
    <row r="412" spans="1:3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P412" s="1"/>
      <c r="Q412" s="1"/>
      <c r="R412" s="1"/>
      <c r="S412" s="1"/>
      <c r="T412" s="1"/>
      <c r="U412" s="1"/>
      <c r="V412" s="1"/>
      <c r="W412" s="1"/>
      <c r="X412" s="1"/>
      <c r="Y412" s="68" t="s">
        <v>469</v>
      </c>
      <c r="Z412" s="69">
        <v>0</v>
      </c>
      <c r="AA412" s="1">
        <v>0</v>
      </c>
      <c r="AB412" s="70" t="s">
        <v>177</v>
      </c>
      <c r="AC412" s="1"/>
      <c r="AD412" s="1"/>
      <c r="AE412" s="1"/>
    </row>
    <row r="413" spans="1:3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P413" s="1"/>
      <c r="Q413" s="1"/>
      <c r="R413" s="1"/>
      <c r="S413" s="1"/>
      <c r="T413" s="1"/>
      <c r="U413" s="1"/>
      <c r="V413" s="1"/>
      <c r="W413" s="1"/>
      <c r="X413" s="1"/>
      <c r="Y413" s="68" t="s">
        <v>656</v>
      </c>
      <c r="Z413" s="69">
        <v>0</v>
      </c>
      <c r="AA413" s="1">
        <v>0</v>
      </c>
      <c r="AB413" s="70" t="s">
        <v>177</v>
      </c>
      <c r="AC413" s="1"/>
      <c r="AD413" s="1"/>
      <c r="AE413" s="1"/>
    </row>
    <row r="414" spans="1:3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P414" s="1"/>
      <c r="Q414" s="1"/>
      <c r="R414" s="1"/>
      <c r="S414" s="1"/>
      <c r="T414" s="1"/>
      <c r="U414" s="1"/>
      <c r="V414" s="1"/>
      <c r="W414" s="1"/>
      <c r="X414" s="1"/>
      <c r="Y414" s="68" t="s">
        <v>657</v>
      </c>
      <c r="Z414" s="69">
        <v>3.7500000000000006E-2</v>
      </c>
      <c r="AA414" s="1">
        <v>0</v>
      </c>
      <c r="AB414" s="70" t="s">
        <v>11</v>
      </c>
      <c r="AC414" s="1"/>
      <c r="AD414" s="1"/>
      <c r="AE414" s="1"/>
    </row>
    <row r="415" spans="1:3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P415" s="1"/>
      <c r="Q415" s="1"/>
      <c r="R415" s="1"/>
      <c r="S415" s="1"/>
      <c r="T415" s="1"/>
      <c r="U415" s="1"/>
      <c r="V415" s="1"/>
      <c r="W415" s="1"/>
      <c r="X415" s="1"/>
      <c r="Y415" s="68" t="s">
        <v>658</v>
      </c>
      <c r="Z415" s="69">
        <v>3.7500000000000006E-2</v>
      </c>
      <c r="AA415" s="1">
        <v>0</v>
      </c>
      <c r="AB415" s="70" t="s">
        <v>11</v>
      </c>
      <c r="AC415" s="1"/>
      <c r="AD415" s="1"/>
      <c r="AE415" s="1"/>
    </row>
    <row r="416" spans="1:3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P416" s="1"/>
      <c r="Q416" s="1"/>
      <c r="R416" s="1"/>
      <c r="S416" s="1"/>
      <c r="T416" s="1"/>
      <c r="U416" s="1"/>
      <c r="V416" s="1"/>
      <c r="W416" s="1"/>
      <c r="X416" s="1"/>
      <c r="Y416" s="68" t="s">
        <v>659</v>
      </c>
      <c r="Z416" s="69">
        <v>0.01</v>
      </c>
      <c r="AA416" s="1">
        <v>317</v>
      </c>
      <c r="AB416" s="70" t="s">
        <v>9</v>
      </c>
      <c r="AC416" s="1"/>
      <c r="AD416" s="1"/>
      <c r="AE416" s="1"/>
    </row>
    <row r="417" spans="1:3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P417" s="1"/>
      <c r="Q417" s="1"/>
      <c r="R417" s="1"/>
      <c r="S417" s="1"/>
      <c r="T417" s="1"/>
      <c r="U417" s="1"/>
      <c r="V417" s="1"/>
      <c r="W417" s="1"/>
      <c r="X417" s="1"/>
      <c r="Y417" s="68" t="s">
        <v>660</v>
      </c>
      <c r="Z417" s="69">
        <v>1.5000000000000001E-2</v>
      </c>
      <c r="AA417" s="1">
        <v>0</v>
      </c>
      <c r="AB417" s="70" t="s">
        <v>9</v>
      </c>
      <c r="AC417" s="1"/>
      <c r="AD417" s="1"/>
      <c r="AE417" s="1"/>
    </row>
    <row r="418" spans="1:3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P418" s="1"/>
      <c r="Q418" s="1"/>
      <c r="R418" s="1"/>
      <c r="S418" s="1"/>
      <c r="T418" s="1"/>
      <c r="U418" s="1"/>
      <c r="V418" s="1"/>
      <c r="W418" s="1"/>
      <c r="X418" s="1"/>
      <c r="Y418" s="68" t="s">
        <v>661</v>
      </c>
      <c r="Z418" s="69">
        <v>9.0000000000000011E-2</v>
      </c>
      <c r="AA418" s="1">
        <v>513</v>
      </c>
      <c r="AB418" s="70" t="s">
        <v>11</v>
      </c>
      <c r="AC418" s="1"/>
      <c r="AD418" s="1"/>
      <c r="AE418" s="1"/>
    </row>
    <row r="419" spans="1:3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P419" s="1"/>
      <c r="Q419" s="1"/>
      <c r="R419" s="1"/>
      <c r="S419" s="1"/>
      <c r="T419" s="1"/>
      <c r="U419" s="1"/>
      <c r="V419" s="1"/>
      <c r="W419" s="1"/>
      <c r="X419" s="1"/>
      <c r="Y419" s="68" t="s">
        <v>662</v>
      </c>
      <c r="Z419" s="69">
        <v>9.0000000000000011E-2</v>
      </c>
      <c r="AA419" s="1">
        <v>513</v>
      </c>
      <c r="AB419" s="70" t="s">
        <v>11</v>
      </c>
      <c r="AC419" s="1"/>
      <c r="AD419" s="1"/>
      <c r="AE419" s="1"/>
    </row>
    <row r="420" spans="1:3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P420" s="1"/>
      <c r="Q420" s="1"/>
      <c r="R420" s="1"/>
      <c r="S420" s="1"/>
      <c r="T420" s="1"/>
      <c r="U420" s="1"/>
      <c r="V420" s="1"/>
      <c r="W420" s="1"/>
      <c r="X420" s="1"/>
      <c r="Y420" s="68" t="s">
        <v>663</v>
      </c>
      <c r="Z420" s="69">
        <v>9.0000000000000011E-2</v>
      </c>
      <c r="AA420" s="1">
        <v>513</v>
      </c>
      <c r="AB420" s="70" t="s">
        <v>11</v>
      </c>
      <c r="AC420" s="1"/>
      <c r="AD420" s="1"/>
      <c r="AE420" s="1"/>
    </row>
    <row r="421" spans="1:3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P421" s="1"/>
      <c r="Q421" s="1"/>
      <c r="R421" s="1"/>
      <c r="S421" s="1"/>
      <c r="T421" s="1"/>
      <c r="U421" s="1"/>
      <c r="V421" s="1"/>
      <c r="W421" s="1"/>
      <c r="X421" s="1"/>
      <c r="Y421" s="68" t="s">
        <v>664</v>
      </c>
      <c r="Z421" s="69">
        <v>3.7500000000000006E-2</v>
      </c>
      <c r="AA421" s="1">
        <v>0</v>
      </c>
      <c r="AB421" s="70" t="s">
        <v>11</v>
      </c>
      <c r="AC421" s="1"/>
      <c r="AD421" s="1"/>
      <c r="AE421" s="1"/>
    </row>
    <row r="422" spans="1:3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P422" s="1"/>
      <c r="Q422" s="1"/>
      <c r="R422" s="1"/>
      <c r="S422" s="1"/>
      <c r="T422" s="1"/>
      <c r="U422" s="1"/>
      <c r="V422" s="1"/>
      <c r="W422" s="1"/>
      <c r="X422" s="1"/>
      <c r="Y422" s="68" t="s">
        <v>665</v>
      </c>
      <c r="Z422" s="69">
        <v>0.11000000000000001</v>
      </c>
      <c r="AA422" s="1">
        <v>317</v>
      </c>
      <c r="AB422" s="70" t="s">
        <v>177</v>
      </c>
      <c r="AC422" s="1"/>
      <c r="AD422" s="1"/>
      <c r="AE422" s="1"/>
    </row>
    <row r="423" spans="1:3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P423" s="1"/>
      <c r="Q423" s="1"/>
      <c r="R423" s="1"/>
      <c r="S423" s="1"/>
      <c r="T423" s="1"/>
      <c r="U423" s="1"/>
      <c r="V423" s="1"/>
      <c r="W423" s="1"/>
      <c r="X423" s="1"/>
      <c r="Y423" s="68" t="s">
        <v>666</v>
      </c>
      <c r="Z423" s="69">
        <v>0.11000000000000001</v>
      </c>
      <c r="AA423" s="1">
        <v>317</v>
      </c>
      <c r="AB423" s="70" t="s">
        <v>9</v>
      </c>
      <c r="AC423" s="1"/>
      <c r="AD423" s="1"/>
      <c r="AE423" s="1"/>
    </row>
    <row r="424" spans="1:3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P424" s="1"/>
      <c r="Q424" s="1"/>
      <c r="R424" s="1"/>
      <c r="S424" s="1"/>
      <c r="T424" s="1"/>
      <c r="U424" s="1"/>
      <c r="V424" s="1"/>
      <c r="W424" s="1"/>
      <c r="X424" s="1"/>
      <c r="Y424" s="68" t="s">
        <v>667</v>
      </c>
      <c r="Z424" s="69">
        <v>0.1</v>
      </c>
      <c r="AA424" s="1">
        <v>513</v>
      </c>
      <c r="AB424" s="70" t="s">
        <v>11</v>
      </c>
      <c r="AC424" s="1"/>
      <c r="AD424" s="1"/>
      <c r="AE424" s="1"/>
    </row>
    <row r="425" spans="1:3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P425" s="1"/>
      <c r="Q425" s="1"/>
      <c r="R425" s="1"/>
      <c r="S425" s="1"/>
      <c r="T425" s="1"/>
      <c r="U425" s="1"/>
      <c r="V425" s="1"/>
      <c r="W425" s="1"/>
      <c r="X425" s="1"/>
      <c r="Y425" s="68" t="s">
        <v>668</v>
      </c>
      <c r="Z425" s="69">
        <v>0.11000000000000001</v>
      </c>
      <c r="AA425" s="1">
        <v>317</v>
      </c>
      <c r="AB425" s="70" t="s">
        <v>177</v>
      </c>
      <c r="AC425" s="1"/>
      <c r="AD425" s="1"/>
      <c r="AE425" s="1"/>
    </row>
    <row r="426" spans="1:3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P426" s="1"/>
      <c r="Q426" s="1"/>
      <c r="R426" s="1"/>
      <c r="S426" s="1"/>
      <c r="T426" s="1"/>
      <c r="U426" s="1"/>
      <c r="V426" s="1"/>
      <c r="W426" s="1"/>
      <c r="X426" s="1"/>
      <c r="Y426" s="68" t="s">
        <v>669</v>
      </c>
      <c r="Z426" s="69">
        <v>0.11000000000000001</v>
      </c>
      <c r="AA426" s="1">
        <v>317</v>
      </c>
      <c r="AB426" s="70" t="s">
        <v>9</v>
      </c>
      <c r="AC426" s="1"/>
      <c r="AD426" s="1"/>
      <c r="AE426" s="1"/>
    </row>
    <row r="427" spans="1:3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P427" s="1"/>
      <c r="Q427" s="1"/>
      <c r="R427" s="1"/>
      <c r="S427" s="1"/>
      <c r="T427" s="1"/>
      <c r="U427" s="1"/>
      <c r="V427" s="1"/>
      <c r="W427" s="1"/>
      <c r="X427" s="1"/>
      <c r="Y427" s="68" t="s">
        <v>670</v>
      </c>
      <c r="Z427" s="69">
        <v>0.1</v>
      </c>
      <c r="AA427" s="1">
        <v>513</v>
      </c>
      <c r="AB427" s="70" t="s">
        <v>11</v>
      </c>
      <c r="AC427" s="1"/>
      <c r="AD427" s="1"/>
      <c r="AE427" s="1"/>
    </row>
    <row r="428" spans="1:3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P428" s="1"/>
      <c r="Q428" s="1"/>
      <c r="R428" s="1"/>
      <c r="S428" s="1"/>
      <c r="T428" s="1"/>
      <c r="U428" s="1"/>
      <c r="V428" s="1"/>
      <c r="W428" s="1"/>
      <c r="X428" s="1"/>
      <c r="Y428" s="68" t="s">
        <v>671</v>
      </c>
      <c r="Z428" s="69">
        <v>0.1</v>
      </c>
      <c r="AA428" s="1">
        <v>513</v>
      </c>
      <c r="AB428" s="70" t="s">
        <v>11</v>
      </c>
      <c r="AC428" s="1"/>
      <c r="AD428" s="1"/>
      <c r="AE428" s="1"/>
    </row>
    <row r="429" spans="1:3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P429" s="1"/>
      <c r="Q429" s="1"/>
      <c r="R429" s="1"/>
      <c r="S429" s="1"/>
      <c r="T429" s="1"/>
      <c r="U429" s="1"/>
      <c r="V429" s="1"/>
      <c r="W429" s="1"/>
      <c r="X429" s="1"/>
      <c r="Y429" s="68" t="s">
        <v>672</v>
      </c>
      <c r="Z429" s="69">
        <v>9.0000000000000011E-2</v>
      </c>
      <c r="AA429" s="1">
        <v>513</v>
      </c>
      <c r="AB429" s="70" t="s">
        <v>11</v>
      </c>
      <c r="AC429" s="1"/>
      <c r="AD429" s="1"/>
      <c r="AE429" s="1"/>
    </row>
    <row r="430" spans="1:3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P430" s="1"/>
      <c r="Q430" s="1"/>
      <c r="R430" s="1"/>
      <c r="S430" s="1"/>
      <c r="T430" s="1"/>
      <c r="U430" s="1"/>
      <c r="V430" s="1"/>
      <c r="W430" s="1"/>
      <c r="X430" s="1"/>
      <c r="Y430" s="68" t="s">
        <v>673</v>
      </c>
      <c r="Z430" s="69">
        <v>9.0000000000000011E-2</v>
      </c>
      <c r="AA430" s="1">
        <v>513</v>
      </c>
      <c r="AB430" s="70" t="s">
        <v>11</v>
      </c>
      <c r="AC430" s="1"/>
      <c r="AD430" s="1"/>
      <c r="AE430" s="1"/>
    </row>
    <row r="431" spans="1: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P431" s="1"/>
      <c r="Q431" s="1"/>
      <c r="R431" s="1"/>
      <c r="S431" s="1"/>
      <c r="T431" s="1"/>
      <c r="U431" s="1"/>
      <c r="V431" s="1"/>
      <c r="W431" s="1"/>
      <c r="X431" s="1"/>
      <c r="Y431" s="68" t="s">
        <v>674</v>
      </c>
      <c r="Z431" s="69">
        <v>9.0000000000000011E-2</v>
      </c>
      <c r="AA431" s="1">
        <v>317</v>
      </c>
      <c r="AB431" s="70" t="s">
        <v>177</v>
      </c>
      <c r="AC431" s="1"/>
      <c r="AD431" s="1"/>
      <c r="AE431" s="1"/>
    </row>
    <row r="432" spans="1:3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P432" s="1"/>
      <c r="Q432" s="1"/>
      <c r="R432" s="1"/>
      <c r="S432" s="1"/>
      <c r="T432" s="1"/>
      <c r="U432" s="1"/>
      <c r="V432" s="1"/>
      <c r="W432" s="1"/>
      <c r="X432" s="1"/>
      <c r="Y432" s="68" t="s">
        <v>675</v>
      </c>
      <c r="Z432" s="69">
        <v>0.105</v>
      </c>
      <c r="AA432" s="1">
        <v>317</v>
      </c>
      <c r="AB432" s="70" t="s">
        <v>9</v>
      </c>
      <c r="AC432" s="1"/>
      <c r="AD432" s="1"/>
      <c r="AE432" s="1"/>
    </row>
    <row r="433" spans="1:3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P433" s="1"/>
      <c r="Q433" s="1"/>
      <c r="R433" s="1"/>
      <c r="S433" s="1"/>
      <c r="T433" s="1"/>
      <c r="U433" s="1"/>
      <c r="V433" s="1"/>
      <c r="W433" s="1"/>
      <c r="X433" s="1"/>
      <c r="Y433" s="68" t="s">
        <v>676</v>
      </c>
      <c r="Z433" s="69">
        <v>0.105</v>
      </c>
      <c r="AA433" s="1">
        <v>317</v>
      </c>
      <c r="AB433" s="70" t="s">
        <v>177</v>
      </c>
      <c r="AC433" s="1"/>
      <c r="AD433" s="1"/>
      <c r="AE433" s="1"/>
    </row>
    <row r="434" spans="1:3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P434" s="1"/>
      <c r="Q434" s="1"/>
      <c r="R434" s="1"/>
      <c r="S434" s="1"/>
      <c r="T434" s="1"/>
      <c r="U434" s="1"/>
      <c r="V434" s="1"/>
      <c r="W434" s="1"/>
      <c r="X434" s="1"/>
      <c r="Y434" s="68" t="s">
        <v>677</v>
      </c>
      <c r="Z434" s="69">
        <v>0.1</v>
      </c>
      <c r="AA434" s="1">
        <v>317</v>
      </c>
      <c r="AB434" s="70" t="s">
        <v>9</v>
      </c>
      <c r="AC434" s="1"/>
      <c r="AD434" s="1"/>
      <c r="AE434" s="1"/>
    </row>
    <row r="435" spans="1:3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P435" s="1"/>
      <c r="Q435" s="1"/>
      <c r="R435" s="1"/>
      <c r="S435" s="1"/>
      <c r="T435" s="1"/>
      <c r="U435" s="1"/>
      <c r="V435" s="1"/>
      <c r="W435" s="1"/>
      <c r="X435" s="1"/>
      <c r="Y435" s="68" t="s">
        <v>678</v>
      </c>
      <c r="Z435" s="69">
        <v>9.0000000000000011E-2</v>
      </c>
      <c r="AA435" s="1">
        <v>513</v>
      </c>
      <c r="AB435" s="70" t="s">
        <v>11</v>
      </c>
      <c r="AC435" s="1"/>
      <c r="AD435" s="1"/>
      <c r="AE435" s="1"/>
    </row>
    <row r="436" spans="1:3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P436" s="1"/>
      <c r="Q436" s="1"/>
      <c r="R436" s="1"/>
      <c r="S436" s="1"/>
      <c r="T436" s="1"/>
      <c r="U436" s="1"/>
      <c r="V436" s="1"/>
      <c r="W436" s="1"/>
      <c r="X436" s="1"/>
      <c r="Y436" s="68" t="s">
        <v>679</v>
      </c>
      <c r="Z436" s="69">
        <v>9.0000000000000011E-2</v>
      </c>
      <c r="AA436" s="1">
        <v>513</v>
      </c>
      <c r="AB436" s="70" t="s">
        <v>11</v>
      </c>
      <c r="AC436" s="1"/>
      <c r="AD436" s="1"/>
      <c r="AE436" s="1"/>
    </row>
    <row r="437" spans="1:3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P437" s="1"/>
      <c r="Q437" s="1"/>
      <c r="R437" s="1"/>
      <c r="S437" s="1"/>
      <c r="T437" s="1"/>
      <c r="U437" s="1"/>
      <c r="V437" s="1"/>
      <c r="W437" s="1"/>
      <c r="X437" s="1"/>
      <c r="Y437" s="68" t="s">
        <v>680</v>
      </c>
      <c r="Z437" s="69">
        <v>9.5000000000000001E-2</v>
      </c>
      <c r="AA437" s="1">
        <v>513</v>
      </c>
      <c r="AB437" s="70" t="s">
        <v>11</v>
      </c>
      <c r="AC437" s="1"/>
      <c r="AD437" s="1"/>
      <c r="AE437" s="1"/>
    </row>
    <row r="438" spans="1:3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P438" s="1"/>
      <c r="Q438" s="1"/>
      <c r="R438" s="1"/>
      <c r="S438" s="1"/>
      <c r="T438" s="1"/>
      <c r="U438" s="1"/>
      <c r="V438" s="1"/>
      <c r="W438" s="1"/>
      <c r="X438" s="1"/>
      <c r="Y438" s="68" t="s">
        <v>532</v>
      </c>
      <c r="Z438" s="69">
        <v>8.5000000000000006E-2</v>
      </c>
      <c r="AA438" s="1">
        <v>513</v>
      </c>
      <c r="AB438" s="70" t="s">
        <v>11</v>
      </c>
      <c r="AC438" s="1"/>
      <c r="AD438" s="1"/>
      <c r="AE438" s="1"/>
    </row>
    <row r="439" spans="1:3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P439" s="1"/>
      <c r="Q439" s="1"/>
      <c r="R439" s="1"/>
      <c r="S439" s="1"/>
      <c r="T439" s="1"/>
      <c r="U439" s="1"/>
      <c r="V439" s="1"/>
      <c r="W439" s="1"/>
      <c r="X439" s="1"/>
      <c r="Y439" s="68" t="s">
        <v>533</v>
      </c>
      <c r="Z439" s="69">
        <v>8.5000000000000006E-2</v>
      </c>
      <c r="AA439" s="1">
        <v>513</v>
      </c>
      <c r="AB439" s="70" t="s">
        <v>11</v>
      </c>
      <c r="AC439" s="1"/>
      <c r="AD439" s="1"/>
      <c r="AE439" s="1"/>
    </row>
    <row r="440" spans="1:3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P440" s="1"/>
      <c r="Q440" s="1"/>
      <c r="R440" s="1"/>
      <c r="S440" s="1"/>
      <c r="T440" s="1"/>
      <c r="U440" s="1"/>
      <c r="V440" s="1"/>
      <c r="W440" s="1"/>
      <c r="X440" s="1"/>
      <c r="Y440" s="68" t="s">
        <v>534</v>
      </c>
      <c r="Z440" s="69">
        <v>8.5000000000000006E-2</v>
      </c>
      <c r="AA440" s="1">
        <v>513</v>
      </c>
      <c r="AB440" s="70" t="s">
        <v>11</v>
      </c>
      <c r="AC440" s="1"/>
      <c r="AD440" s="1"/>
      <c r="AE440" s="1"/>
    </row>
    <row r="441" spans="1:3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P441" s="1"/>
      <c r="Q441" s="1"/>
      <c r="R441" s="1"/>
      <c r="S441" s="1"/>
      <c r="T441" s="1"/>
      <c r="U441" s="1"/>
      <c r="V441" s="1"/>
      <c r="W441" s="1"/>
      <c r="X441" s="1"/>
      <c r="Y441" s="68" t="s">
        <v>535</v>
      </c>
      <c r="Z441" s="69">
        <v>8.7499999999999994E-2</v>
      </c>
      <c r="AA441" s="1">
        <v>513</v>
      </c>
      <c r="AB441" s="70" t="s">
        <v>11</v>
      </c>
      <c r="AC441" s="1"/>
      <c r="AD441" s="1"/>
      <c r="AE441" s="1"/>
    </row>
    <row r="442" spans="1:3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P442" s="1"/>
      <c r="Q442" s="1"/>
      <c r="R442" s="1"/>
      <c r="S442" s="1"/>
      <c r="T442" s="1"/>
      <c r="U442" s="1"/>
      <c r="V442" s="1"/>
      <c r="W442" s="1"/>
      <c r="X442" s="1"/>
      <c r="Y442" s="68" t="s">
        <v>536</v>
      </c>
      <c r="Z442" s="69">
        <v>8.5000000000000006E-2</v>
      </c>
      <c r="AA442" s="1">
        <v>513</v>
      </c>
      <c r="AB442" s="70" t="s">
        <v>11</v>
      </c>
      <c r="AC442" s="1"/>
      <c r="AD442" s="1"/>
      <c r="AE442" s="1"/>
    </row>
    <row r="443" spans="1:3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P443" s="1"/>
      <c r="Q443" s="1"/>
      <c r="R443" s="1"/>
      <c r="S443" s="1"/>
      <c r="T443" s="1"/>
      <c r="U443" s="1"/>
      <c r="V443" s="1"/>
      <c r="W443" s="1"/>
      <c r="X443" s="1"/>
      <c r="Y443" s="68" t="s">
        <v>537</v>
      </c>
      <c r="Z443" s="69">
        <v>8.5000000000000006E-2</v>
      </c>
      <c r="AA443" s="1">
        <v>513</v>
      </c>
      <c r="AB443" s="70" t="s">
        <v>11</v>
      </c>
      <c r="AC443" s="1"/>
      <c r="AD443" s="1"/>
      <c r="AE443" s="1"/>
    </row>
    <row r="444" spans="1:3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P444" s="1"/>
      <c r="Q444" s="1"/>
      <c r="R444" s="1"/>
      <c r="S444" s="1"/>
      <c r="T444" s="1"/>
      <c r="U444" s="1"/>
      <c r="V444" s="1"/>
      <c r="W444" s="1"/>
      <c r="X444" s="1"/>
      <c r="Y444" s="68" t="s">
        <v>538</v>
      </c>
      <c r="Z444" s="69">
        <v>8.5000000000000006E-2</v>
      </c>
      <c r="AA444" s="1">
        <v>513</v>
      </c>
      <c r="AB444" s="70" t="s">
        <v>11</v>
      </c>
      <c r="AC444" s="1"/>
      <c r="AD444" s="1"/>
      <c r="AE444" s="1"/>
    </row>
    <row r="445" spans="1:3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P445" s="1"/>
      <c r="Q445" s="1"/>
      <c r="R445" s="1"/>
      <c r="S445" s="1"/>
      <c r="T445" s="1"/>
      <c r="U445" s="1"/>
      <c r="V445" s="1"/>
      <c r="W445" s="1"/>
      <c r="X445" s="1"/>
      <c r="Y445" s="68" t="s">
        <v>539</v>
      </c>
      <c r="Z445" s="69">
        <v>8.5000000000000006E-2</v>
      </c>
      <c r="AA445" s="1">
        <v>513</v>
      </c>
      <c r="AB445" s="70" t="s">
        <v>11</v>
      </c>
      <c r="AC445" s="1"/>
      <c r="AD445" s="1"/>
      <c r="AE445" s="1"/>
    </row>
    <row r="446" spans="1:3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P446" s="1"/>
      <c r="Q446" s="1"/>
      <c r="R446" s="1"/>
      <c r="S446" s="1"/>
      <c r="T446" s="1"/>
      <c r="U446" s="1"/>
      <c r="V446" s="1"/>
      <c r="W446" s="1"/>
      <c r="X446" s="1"/>
      <c r="Y446" s="68" t="s">
        <v>644</v>
      </c>
      <c r="Z446" s="69">
        <v>0.115</v>
      </c>
      <c r="AA446" s="1">
        <v>317</v>
      </c>
      <c r="AB446" s="70" t="s">
        <v>9</v>
      </c>
      <c r="AC446" s="1"/>
      <c r="AD446" s="1"/>
      <c r="AE446" s="1"/>
    </row>
    <row r="447" spans="1:3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P447" s="1"/>
      <c r="Q447" s="1"/>
      <c r="R447" s="1"/>
      <c r="S447" s="1"/>
      <c r="T447" s="1"/>
      <c r="U447" s="1"/>
      <c r="V447" s="1"/>
      <c r="W447" s="1"/>
      <c r="X447" s="1"/>
      <c r="Y447" s="68" t="s">
        <v>645</v>
      </c>
      <c r="Z447" s="69">
        <v>0.115</v>
      </c>
      <c r="AA447" s="1">
        <v>317</v>
      </c>
      <c r="AB447" s="70" t="s">
        <v>177</v>
      </c>
      <c r="AC447" s="1"/>
      <c r="AD447" s="1"/>
      <c r="AE447" s="1"/>
    </row>
    <row r="448" spans="1:3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P448" s="1"/>
      <c r="Q448" s="1"/>
      <c r="R448" s="1"/>
      <c r="S448" s="1"/>
      <c r="T448" s="1"/>
      <c r="U448" s="1"/>
      <c r="V448" s="1"/>
      <c r="W448" s="1"/>
      <c r="X448" s="1"/>
      <c r="Y448" s="68" t="s">
        <v>646</v>
      </c>
      <c r="Z448" s="69">
        <v>0.115</v>
      </c>
      <c r="AA448" s="1">
        <v>317</v>
      </c>
      <c r="AB448" s="70" t="s">
        <v>9</v>
      </c>
      <c r="AC448" s="1"/>
      <c r="AD448" s="1"/>
      <c r="AE448" s="1"/>
    </row>
    <row r="449" spans="1:3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P449" s="1"/>
      <c r="Q449" s="1"/>
      <c r="R449" s="1"/>
      <c r="S449" s="1"/>
      <c r="T449" s="1"/>
      <c r="U449" s="1"/>
      <c r="V449" s="1"/>
      <c r="W449" s="1"/>
      <c r="X449" s="1"/>
      <c r="Y449" s="68" t="s">
        <v>647</v>
      </c>
      <c r="Z449" s="69">
        <v>0.115</v>
      </c>
      <c r="AA449" s="1">
        <v>317</v>
      </c>
      <c r="AB449" s="70" t="s">
        <v>9</v>
      </c>
      <c r="AC449" s="1"/>
      <c r="AD449" s="1"/>
      <c r="AE449" s="1"/>
    </row>
    <row r="450" spans="1:3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P450" s="1"/>
      <c r="Q450" s="1"/>
      <c r="R450" s="1"/>
      <c r="S450" s="1"/>
      <c r="T450" s="1"/>
      <c r="U450" s="1"/>
      <c r="V450" s="1"/>
      <c r="W450" s="1"/>
      <c r="X450" s="1"/>
      <c r="Y450" s="68" t="s">
        <v>648</v>
      </c>
      <c r="Z450" s="69">
        <v>0.115</v>
      </c>
      <c r="AA450" s="1">
        <v>317</v>
      </c>
      <c r="AB450" s="70" t="s">
        <v>9</v>
      </c>
      <c r="AC450" s="1"/>
      <c r="AD450" s="1"/>
      <c r="AE450" s="1"/>
    </row>
    <row r="451" spans="1:3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P451" s="1"/>
      <c r="Q451" s="1"/>
      <c r="R451" s="1"/>
      <c r="S451" s="1"/>
      <c r="T451" s="1"/>
      <c r="U451" s="1"/>
      <c r="V451" s="1"/>
      <c r="W451" s="1"/>
      <c r="X451" s="1"/>
      <c r="Y451" s="68" t="s">
        <v>649</v>
      </c>
      <c r="Z451" s="69">
        <v>0.115</v>
      </c>
      <c r="AA451" s="1">
        <v>317</v>
      </c>
      <c r="AB451" s="70" t="s">
        <v>177</v>
      </c>
      <c r="AC451" s="1"/>
      <c r="AD451" s="1"/>
      <c r="AE451" s="1"/>
    </row>
    <row r="452" spans="1:3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P452" s="1"/>
      <c r="Q452" s="1"/>
      <c r="R452" s="1"/>
      <c r="S452" s="1"/>
      <c r="T452" s="1"/>
      <c r="U452" s="1"/>
      <c r="V452" s="1"/>
      <c r="W452" s="1"/>
      <c r="X452" s="1"/>
      <c r="Y452" s="68" t="s">
        <v>650</v>
      </c>
      <c r="Z452" s="69">
        <v>0.115</v>
      </c>
      <c r="AA452" s="1">
        <v>317</v>
      </c>
      <c r="AB452" s="70" t="s">
        <v>9</v>
      </c>
      <c r="AC452" s="1"/>
      <c r="AD452" s="1"/>
      <c r="AE452" s="1"/>
    </row>
    <row r="453" spans="1:3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P453" s="1"/>
      <c r="Q453" s="1"/>
      <c r="R453" s="1"/>
      <c r="S453" s="1"/>
      <c r="T453" s="1"/>
      <c r="U453" s="1"/>
      <c r="V453" s="1"/>
      <c r="W453" s="1"/>
      <c r="X453" s="1"/>
      <c r="Y453" s="68" t="s">
        <v>651</v>
      </c>
      <c r="Z453" s="69">
        <v>0.115</v>
      </c>
      <c r="AA453" s="1">
        <v>317</v>
      </c>
      <c r="AB453" s="70" t="s">
        <v>177</v>
      </c>
      <c r="AC453" s="1"/>
      <c r="AD453" s="1"/>
      <c r="AE453" s="1"/>
    </row>
    <row r="454" spans="1:3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P454" s="1"/>
      <c r="Q454" s="1"/>
      <c r="R454" s="1"/>
      <c r="S454" s="1"/>
      <c r="T454" s="1"/>
      <c r="U454" s="1"/>
      <c r="V454" s="1"/>
      <c r="W454" s="1"/>
      <c r="X454" s="1"/>
      <c r="Y454" s="68" t="s">
        <v>652</v>
      </c>
      <c r="Z454" s="69">
        <v>0.115</v>
      </c>
      <c r="AA454" s="1">
        <v>317</v>
      </c>
      <c r="AB454" s="70" t="s">
        <v>9</v>
      </c>
      <c r="AC454" s="1"/>
      <c r="AD454" s="1"/>
      <c r="AE454" s="1"/>
    </row>
    <row r="455" spans="1:3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P455" s="1"/>
      <c r="Q455" s="1"/>
      <c r="R455" s="1"/>
      <c r="S455" s="1"/>
      <c r="T455" s="1"/>
      <c r="U455" s="1"/>
      <c r="V455" s="1"/>
      <c r="W455" s="1"/>
      <c r="X455" s="1"/>
      <c r="Y455" s="68" t="s">
        <v>653</v>
      </c>
      <c r="Z455" s="69">
        <v>0.115</v>
      </c>
      <c r="AA455" s="1">
        <v>317</v>
      </c>
      <c r="AB455" s="70" t="s">
        <v>9</v>
      </c>
      <c r="AC455" s="1"/>
      <c r="AD455" s="1"/>
      <c r="AE455" s="1"/>
    </row>
    <row r="456" spans="1:3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P456" s="1"/>
      <c r="Q456" s="1"/>
      <c r="R456" s="1"/>
      <c r="S456" s="1"/>
      <c r="T456" s="1"/>
      <c r="U456" s="1"/>
      <c r="V456" s="1"/>
      <c r="W456" s="1"/>
      <c r="X456" s="1"/>
      <c r="Y456" s="68" t="s">
        <v>654</v>
      </c>
      <c r="Z456" s="69">
        <v>0.115</v>
      </c>
      <c r="AA456" s="1">
        <v>317</v>
      </c>
      <c r="AB456" s="70" t="s">
        <v>9</v>
      </c>
      <c r="AC456" s="1"/>
      <c r="AD456" s="1"/>
      <c r="AE456" s="1"/>
    </row>
    <row r="457" spans="1:3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P457" s="1"/>
      <c r="Q457" s="1"/>
      <c r="R457" s="1"/>
      <c r="S457" s="1"/>
      <c r="T457" s="1"/>
      <c r="U457" s="1"/>
      <c r="V457" s="1"/>
      <c r="W457" s="1"/>
      <c r="X457" s="1"/>
      <c r="Y457" s="68" t="s">
        <v>655</v>
      </c>
      <c r="Z457" s="69">
        <v>0.115</v>
      </c>
      <c r="AA457" s="1">
        <v>317</v>
      </c>
      <c r="AB457" s="70" t="s">
        <v>9</v>
      </c>
      <c r="AC457" s="1"/>
      <c r="AD457" s="1"/>
      <c r="AE457" s="1"/>
    </row>
    <row r="458" spans="1:3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P458" s="1"/>
      <c r="Q458" s="1"/>
      <c r="R458" s="1"/>
      <c r="S458" s="1"/>
      <c r="T458" s="1"/>
      <c r="U458" s="1"/>
      <c r="V458" s="1"/>
      <c r="W458" s="1"/>
      <c r="X458" s="1"/>
      <c r="Y458" s="68" t="s">
        <v>225</v>
      </c>
      <c r="Z458" s="69">
        <v>0.08</v>
      </c>
      <c r="AA458" s="1">
        <v>0</v>
      </c>
      <c r="AB458" s="70" t="s">
        <v>177</v>
      </c>
      <c r="AC458" s="1"/>
      <c r="AD458" s="1"/>
      <c r="AE458" s="1"/>
    </row>
    <row r="459" spans="1:3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P459" s="1"/>
      <c r="Q459" s="1"/>
      <c r="R459" s="1"/>
      <c r="S459" s="1"/>
      <c r="T459" s="1"/>
      <c r="U459" s="1"/>
      <c r="V459" s="1"/>
      <c r="W459" s="1"/>
      <c r="X459" s="1"/>
      <c r="Y459" s="68" t="s">
        <v>226</v>
      </c>
      <c r="Z459" s="69">
        <v>0.10249999999999999</v>
      </c>
      <c r="AA459" s="1">
        <v>0</v>
      </c>
      <c r="AB459" s="70" t="s">
        <v>9</v>
      </c>
      <c r="AC459" s="1"/>
      <c r="AD459" s="1"/>
      <c r="AE459" s="1"/>
    </row>
    <row r="460" spans="1:3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P460" s="1"/>
      <c r="Q460" s="1"/>
      <c r="R460" s="1"/>
      <c r="S460" s="1"/>
      <c r="T460" s="1"/>
      <c r="U460" s="1"/>
      <c r="V460" s="1"/>
      <c r="W460" s="1"/>
      <c r="X460" s="1"/>
      <c r="Y460" s="68" t="s">
        <v>470</v>
      </c>
      <c r="Z460" s="69">
        <v>0.10205</v>
      </c>
      <c r="AA460" s="1">
        <v>0</v>
      </c>
      <c r="AB460" s="70" t="s">
        <v>9</v>
      </c>
      <c r="AC460" s="1"/>
      <c r="AD460" s="1"/>
      <c r="AE460" s="1"/>
    </row>
    <row r="461" spans="1:3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P461" s="1"/>
      <c r="Q461" s="1"/>
      <c r="R461" s="1"/>
      <c r="S461" s="1"/>
      <c r="T461" s="1"/>
      <c r="U461" s="1"/>
      <c r="V461" s="1"/>
      <c r="W461" s="1"/>
      <c r="X461" s="1"/>
      <c r="Y461" s="68" t="s">
        <v>227</v>
      </c>
      <c r="Z461" s="69">
        <v>7.4999999999999997E-2</v>
      </c>
      <c r="AA461" s="1">
        <v>0</v>
      </c>
      <c r="AB461" s="70" t="s">
        <v>177</v>
      </c>
      <c r="AC461" s="1"/>
      <c r="AD461" s="1"/>
      <c r="AE461" s="1"/>
    </row>
    <row r="462" spans="1:3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P462" s="1"/>
      <c r="Q462" s="1"/>
      <c r="R462" s="1"/>
      <c r="S462" s="1"/>
      <c r="T462" s="1"/>
      <c r="U462" s="1"/>
      <c r="V462" s="1"/>
      <c r="W462" s="1"/>
      <c r="X462" s="1"/>
      <c r="Y462" s="68" t="s">
        <v>436</v>
      </c>
      <c r="Z462" s="69">
        <v>0.09</v>
      </c>
      <c r="AA462" s="1">
        <v>513</v>
      </c>
      <c r="AB462" s="70" t="s">
        <v>11</v>
      </c>
      <c r="AC462" s="1"/>
      <c r="AD462" s="1"/>
      <c r="AE462" s="1"/>
    </row>
    <row r="463" spans="1:3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P463" s="1"/>
      <c r="Q463" s="1"/>
      <c r="R463" s="1"/>
      <c r="S463" s="1"/>
      <c r="T463" s="1"/>
      <c r="U463" s="1"/>
      <c r="V463" s="1"/>
      <c r="W463" s="1"/>
      <c r="X463" s="1"/>
      <c r="Y463" s="68" t="s">
        <v>437</v>
      </c>
      <c r="Z463" s="69">
        <v>0.09</v>
      </c>
      <c r="AA463" s="1">
        <v>513</v>
      </c>
      <c r="AB463" s="70" t="s">
        <v>11</v>
      </c>
      <c r="AC463" s="1"/>
      <c r="AD463" s="1"/>
      <c r="AE463" s="1"/>
    </row>
    <row r="464" spans="1:3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P464" s="1"/>
      <c r="Q464" s="1"/>
      <c r="R464" s="1"/>
      <c r="S464" s="1"/>
      <c r="T464" s="1"/>
      <c r="U464" s="1"/>
      <c r="V464" s="1"/>
      <c r="W464" s="1"/>
      <c r="X464" s="1"/>
      <c r="Y464" s="68" t="s">
        <v>438</v>
      </c>
      <c r="Z464" s="69">
        <v>0.09</v>
      </c>
      <c r="AA464" s="1">
        <v>513</v>
      </c>
      <c r="AB464" s="70" t="s">
        <v>11</v>
      </c>
      <c r="AC464" s="1"/>
      <c r="AD464" s="1"/>
      <c r="AE464" s="1"/>
    </row>
    <row r="465" spans="1:3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P465" s="1"/>
      <c r="Q465" s="1"/>
      <c r="R465" s="1"/>
      <c r="S465" s="1"/>
      <c r="T465" s="1"/>
      <c r="U465" s="1"/>
      <c r="V465" s="1"/>
      <c r="W465" s="1"/>
      <c r="X465" s="1"/>
      <c r="Y465" s="68" t="s">
        <v>439</v>
      </c>
      <c r="Z465" s="69">
        <v>0.09</v>
      </c>
      <c r="AA465" s="1">
        <v>513</v>
      </c>
      <c r="AB465" s="70" t="s">
        <v>11</v>
      </c>
      <c r="AC465" s="1"/>
      <c r="AD465" s="1"/>
      <c r="AE465" s="1"/>
    </row>
    <row r="466" spans="1:3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P466" s="1"/>
      <c r="Q466" s="1"/>
      <c r="R466" s="1"/>
      <c r="S466" s="1"/>
      <c r="T466" s="1"/>
      <c r="U466" s="1"/>
      <c r="V466" s="1"/>
      <c r="W466" s="1"/>
      <c r="X466" s="1"/>
      <c r="Y466" s="68" t="s">
        <v>440</v>
      </c>
      <c r="Z466" s="69">
        <v>0.08</v>
      </c>
      <c r="AA466" s="1">
        <v>513</v>
      </c>
      <c r="AB466" s="70" t="s">
        <v>11</v>
      </c>
      <c r="AC466" s="1"/>
      <c r="AD466" s="1"/>
      <c r="AE466" s="1"/>
    </row>
    <row r="467" spans="1:3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P467" s="1"/>
      <c r="Q467" s="1"/>
      <c r="R467" s="1"/>
      <c r="S467" s="1"/>
      <c r="T467" s="1"/>
      <c r="U467" s="1"/>
      <c r="V467" s="1"/>
      <c r="W467" s="1"/>
      <c r="X467" s="1"/>
      <c r="Y467" s="68" t="s">
        <v>441</v>
      </c>
      <c r="Z467" s="69">
        <v>0.08</v>
      </c>
      <c r="AA467" s="1">
        <v>513</v>
      </c>
      <c r="AB467" s="70" t="s">
        <v>11</v>
      </c>
      <c r="AC467" s="1"/>
      <c r="AD467" s="1"/>
      <c r="AE467" s="1"/>
    </row>
    <row r="468" spans="1:3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P468" s="1"/>
      <c r="Q468" s="1"/>
      <c r="R468" s="1"/>
      <c r="S468" s="1"/>
      <c r="T468" s="1"/>
      <c r="U468" s="1"/>
      <c r="V468" s="1"/>
      <c r="W468" s="1"/>
      <c r="X468" s="1"/>
      <c r="Y468" s="68" t="s">
        <v>442</v>
      </c>
      <c r="Z468" s="69">
        <v>0.05</v>
      </c>
      <c r="AA468" s="1">
        <v>513</v>
      </c>
      <c r="AB468" s="70" t="s">
        <v>11</v>
      </c>
      <c r="AC468" s="1"/>
      <c r="AD468" s="1"/>
      <c r="AE468" s="1"/>
    </row>
    <row r="469" spans="1:3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P469" s="1"/>
      <c r="Q469" s="1"/>
      <c r="R469" s="1"/>
      <c r="S469" s="1"/>
      <c r="T469" s="1"/>
      <c r="U469" s="1"/>
      <c r="V469" s="1"/>
      <c r="W469" s="1"/>
      <c r="X469" s="1"/>
      <c r="Y469" s="68" t="s">
        <v>228</v>
      </c>
      <c r="Z469" s="69">
        <v>7.4999999999999997E-2</v>
      </c>
      <c r="AA469" s="1">
        <v>0</v>
      </c>
      <c r="AB469" s="70" t="s">
        <v>9</v>
      </c>
      <c r="AC469" s="1"/>
      <c r="AD469" s="1"/>
      <c r="AE469" s="1"/>
    </row>
    <row r="470" spans="1:3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P470" s="1"/>
      <c r="Q470" s="1"/>
      <c r="R470" s="1"/>
      <c r="S470" s="1"/>
      <c r="T470" s="1"/>
      <c r="U470" s="1"/>
      <c r="V470" s="1"/>
      <c r="W470" s="1"/>
      <c r="X470" s="1"/>
      <c r="Y470" s="68" t="s">
        <v>443</v>
      </c>
      <c r="Z470" s="69">
        <v>0.05</v>
      </c>
      <c r="AA470" s="1">
        <v>513</v>
      </c>
      <c r="AB470" s="70" t="s">
        <v>11</v>
      </c>
      <c r="AC470" s="1"/>
      <c r="AD470" s="1"/>
      <c r="AE470" s="1"/>
    </row>
    <row r="471" spans="1:3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P471" s="1"/>
      <c r="Q471" s="1"/>
      <c r="R471" s="1"/>
      <c r="S471" s="1"/>
      <c r="T471" s="1"/>
      <c r="U471" s="1"/>
      <c r="V471" s="1"/>
      <c r="W471" s="1"/>
      <c r="X471" s="1"/>
      <c r="Y471" s="68" t="s">
        <v>444</v>
      </c>
      <c r="Z471" s="69">
        <v>9.5000000000000001E-2</v>
      </c>
      <c r="AA471" s="1">
        <v>513</v>
      </c>
      <c r="AB471" s="70" t="s">
        <v>11</v>
      </c>
      <c r="AC471" s="1"/>
      <c r="AD471" s="1"/>
      <c r="AE471" s="1"/>
    </row>
    <row r="472" spans="1:3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P472" s="1"/>
      <c r="Q472" s="1"/>
      <c r="R472" s="1"/>
      <c r="S472" s="1"/>
      <c r="T472" s="1"/>
      <c r="U472" s="1"/>
      <c r="V472" s="1"/>
      <c r="W472" s="1"/>
      <c r="X472" s="1"/>
      <c r="Y472" s="68" t="s">
        <v>445</v>
      </c>
      <c r="Z472" s="69">
        <v>0.05</v>
      </c>
      <c r="AA472" s="1">
        <v>513</v>
      </c>
      <c r="AB472" s="70" t="s">
        <v>11</v>
      </c>
      <c r="AC472" s="1"/>
      <c r="AD472" s="1"/>
      <c r="AE472" s="1"/>
    </row>
    <row r="473" spans="1:3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P473" s="1"/>
      <c r="Q473" s="1"/>
      <c r="R473" s="1"/>
      <c r="S473" s="1"/>
      <c r="T473" s="1"/>
      <c r="U473" s="1"/>
      <c r="V473" s="1"/>
      <c r="W473" s="1"/>
      <c r="X473" s="1"/>
      <c r="Y473" s="68" t="s">
        <v>446</v>
      </c>
      <c r="Z473" s="69">
        <v>0.09</v>
      </c>
      <c r="AA473" s="1">
        <v>513</v>
      </c>
      <c r="AB473" s="70" t="s">
        <v>11</v>
      </c>
      <c r="AC473" s="1"/>
      <c r="AD473" s="1"/>
      <c r="AE473" s="1"/>
    </row>
    <row r="474" spans="1:3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P474" s="1"/>
      <c r="Q474" s="1"/>
      <c r="R474" s="1"/>
      <c r="S474" s="1"/>
      <c r="T474" s="1"/>
      <c r="U474" s="1"/>
      <c r="V474" s="1"/>
      <c r="W474" s="1"/>
      <c r="X474" s="1"/>
      <c r="Y474" s="68" t="s">
        <v>229</v>
      </c>
      <c r="Z474" s="69">
        <v>7.4999999999999997E-2</v>
      </c>
      <c r="AA474" s="1">
        <v>0</v>
      </c>
      <c r="AB474" s="70" t="s">
        <v>177</v>
      </c>
      <c r="AC474" s="1"/>
      <c r="AD474" s="1"/>
      <c r="AE474" s="1"/>
    </row>
    <row r="475" spans="1:3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P475" s="1"/>
      <c r="Q475" s="1"/>
      <c r="R475" s="1"/>
      <c r="S475" s="1"/>
      <c r="T475" s="1"/>
      <c r="U475" s="1"/>
      <c r="V475" s="1"/>
      <c r="W475" s="1"/>
      <c r="X475" s="1"/>
      <c r="Y475" s="68" t="s">
        <v>230</v>
      </c>
      <c r="Z475" s="69">
        <v>7.4999999999999997E-2</v>
      </c>
      <c r="AA475" s="1">
        <v>0</v>
      </c>
      <c r="AB475" s="70" t="s">
        <v>9</v>
      </c>
      <c r="AC475" s="1"/>
      <c r="AD475" s="1"/>
      <c r="AE475" s="1"/>
    </row>
    <row r="476" spans="1:3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P476" s="1"/>
      <c r="Q476" s="1"/>
      <c r="R476" s="1"/>
      <c r="S476" s="1"/>
      <c r="T476" s="1"/>
      <c r="U476" s="1"/>
      <c r="V476" s="1"/>
      <c r="W476" s="1"/>
      <c r="X476" s="1"/>
      <c r="Y476" s="72" t="s">
        <v>447</v>
      </c>
      <c r="Z476" s="73">
        <v>0.05</v>
      </c>
      <c r="AA476" s="48">
        <v>513</v>
      </c>
      <c r="AB476" s="74" t="s">
        <v>11</v>
      </c>
    </row>
    <row r="477" spans="1:3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3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3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3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>
      <c r="A550" s="1"/>
      <c r="B550" s="1"/>
      <c r="C550" s="1"/>
      <c r="D550" s="1"/>
      <c r="E550" s="1"/>
      <c r="F550" s="1"/>
      <c r="G550" s="1"/>
      <c r="H550" s="1"/>
      <c r="L550" s="1"/>
      <c r="X550" s="1"/>
    </row>
  </sheetData>
  <sheetProtection sheet="1" selectLockedCells="1"/>
  <sortState xmlns:xlrd2="http://schemas.microsoft.com/office/spreadsheetml/2017/richdata2" ref="Y6:AB476">
    <sortCondition ref="Y6:Y476"/>
  </sortState>
  <phoneticPr fontId="0" type="noConversion"/>
  <dataValidations count="4">
    <dataValidation allowBlank="1" showInputMessage="1" showErrorMessage="1" promptTitle="HW" prompt="#10-13 Must be completed when using revised STD 686 or STD 457 effective 12/2020" sqref="B11" xr:uid="{00000000-0002-0000-0000-000000000000}"/>
    <dataValidation allowBlank="1" showInputMessage="1" showErrorMessage="1" promptTitle="Claim Dep" prompt="#10-13 Must be completed when using revised STD 686 or STD 457 effective 12/2020" sqref="B12" xr:uid="{00000000-0002-0000-0000-000001000000}"/>
    <dataValidation allowBlank="1" showInputMessage="1" showErrorMessage="1" promptTitle="Other Income" prompt="#10-13 Must be completed when using revised STD 686 or STD 457 effective 12/2020" sqref="B13" xr:uid="{00000000-0002-0000-0000-000002000000}"/>
    <dataValidation allowBlank="1" showInputMessage="1" showErrorMessage="1" promptTitle="Deductions" prompt="#10-13 Must be completed when using revised STD 686 or STD 457 effective 12/2020" sqref="B14" xr:uid="{00000000-0002-0000-0000-000003000000}"/>
  </dataValidations>
  <pageMargins left="0.75" right="0.75" top="1" bottom="1" header="0.5" footer="0.5"/>
  <pageSetup scale="89" orientation="portrait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136</vt:i4>
      </vt:variant>
    </vt:vector>
  </HeadingPairs>
  <TitlesOfParts>
    <vt:vector size="137" baseType="lpstr">
      <vt:lpstr>calc</vt:lpstr>
      <vt:lpstr>_DCA1</vt:lpstr>
      <vt:lpstr>_DCA2</vt:lpstr>
      <vt:lpstr>_DCA3</vt:lpstr>
      <vt:lpstr>_DCA4</vt:lpstr>
      <vt:lpstr>_DCA5</vt:lpstr>
      <vt:lpstr>_DCA6</vt:lpstr>
      <vt:lpstr>_DED1</vt:lpstr>
      <vt:lpstr>_DED2</vt:lpstr>
      <vt:lpstr>_DED3</vt:lpstr>
      <vt:lpstr>_DED4</vt:lpstr>
      <vt:lpstr>_FAN1</vt:lpstr>
      <vt:lpstr>_FTA1</vt:lpstr>
      <vt:lpstr>_FTG1</vt:lpstr>
      <vt:lpstr>_PER1</vt:lpstr>
      <vt:lpstr>_PER2</vt:lpstr>
      <vt:lpstr>_PER3</vt:lpstr>
      <vt:lpstr>_PER4</vt:lpstr>
      <vt:lpstr>_SDI1</vt:lpstr>
      <vt:lpstr>_SDM1</vt:lpstr>
      <vt:lpstr>_SDM2</vt:lpstr>
      <vt:lpstr>_STA1</vt:lpstr>
      <vt:lpstr>_STG1</vt:lpstr>
      <vt:lpstr>_TG1</vt:lpstr>
      <vt:lpstr>_TG2</vt:lpstr>
      <vt:lpstr>_TG3</vt:lpstr>
      <vt:lpstr>_TG4</vt:lpstr>
      <vt:lpstr>_TG5</vt:lpstr>
      <vt:lpstr>_TG6</vt:lpstr>
      <vt:lpstr>ADDALLOW</vt:lpstr>
      <vt:lpstr>CAT</vt:lpstr>
      <vt:lpstr>EMPCR</vt:lpstr>
      <vt:lpstr>EPMC</vt:lpstr>
      <vt:lpstr>EPMC_</vt:lpstr>
      <vt:lpstr>EPMC2</vt:lpstr>
      <vt:lpstr>EPMCD</vt:lpstr>
      <vt:lpstr>FBSA1</vt:lpstr>
      <vt:lpstr>FBST1</vt:lpstr>
      <vt:lpstr>Fed_Claim_Dpnts</vt:lpstr>
      <vt:lpstr>Fed_Deds</vt:lpstr>
      <vt:lpstr>Fed_Oth_Inc</vt:lpstr>
      <vt:lpstr>FEDE</vt:lpstr>
      <vt:lpstr>FEDERAL</vt:lpstr>
      <vt:lpstr>FEDEXM</vt:lpstr>
      <vt:lpstr>FEDEXMPT</vt:lpstr>
      <vt:lpstr>FedHW</vt:lpstr>
      <vt:lpstr>FEDM</vt:lpstr>
      <vt:lpstr>FEDM_HW</vt:lpstr>
      <vt:lpstr>Flex_Cash</vt:lpstr>
      <vt:lpstr>FMTR1</vt:lpstr>
      <vt:lpstr>FMTR2</vt:lpstr>
      <vt:lpstr>FMTR3</vt:lpstr>
      <vt:lpstr>FMTR4</vt:lpstr>
      <vt:lpstr>FMTR5</vt:lpstr>
      <vt:lpstr>FMTR6</vt:lpstr>
      <vt:lpstr>FOVR1</vt:lpstr>
      <vt:lpstr>FTAX1</vt:lpstr>
      <vt:lpstr>FTAX2</vt:lpstr>
      <vt:lpstr>FTAX3</vt:lpstr>
      <vt:lpstr>FTAX4</vt:lpstr>
      <vt:lpstr>FTAX5</vt:lpstr>
      <vt:lpstr>FTAX6</vt:lpstr>
      <vt:lpstr>FTXBLH</vt:lpstr>
      <vt:lpstr>FTXTBLHHW</vt:lpstr>
      <vt:lpstr>FTXTBLM</vt:lpstr>
      <vt:lpstr>FTXTBLMHW</vt:lpstr>
      <vt:lpstr>FTXTBLSH</vt:lpstr>
      <vt:lpstr>FTXTBLSHW</vt:lpstr>
      <vt:lpstr>GROSS</vt:lpstr>
      <vt:lpstr>INSTRUCTIONS</vt:lpstr>
      <vt:lpstr>IT</vt:lpstr>
      <vt:lpstr>LIE</vt:lpstr>
      <vt:lpstr>LIEH</vt:lpstr>
      <vt:lpstr>LIEM1</vt:lpstr>
      <vt:lpstr>LIEM2</vt:lpstr>
      <vt:lpstr>LIES</vt:lpstr>
      <vt:lpstr>MACROS</vt:lpstr>
      <vt:lpstr>MD_</vt:lpstr>
      <vt:lpstr>MED</vt:lpstr>
      <vt:lpstr>MED_</vt:lpstr>
      <vt:lpstr>NOOA_</vt:lpstr>
      <vt:lpstr>OA_</vt:lpstr>
      <vt:lpstr>OAC</vt:lpstr>
      <vt:lpstr>OASDI</vt:lpstr>
      <vt:lpstr>OASDI_</vt:lpstr>
      <vt:lpstr>OPEB</vt:lpstr>
      <vt:lpstr>OPEB_AC</vt:lpstr>
      <vt:lpstr>OPEB_Table</vt:lpstr>
      <vt:lpstr>PAYFACT</vt:lpstr>
      <vt:lpstr>calc!Print_Area</vt:lpstr>
      <vt:lpstr>RETID_TABLE</vt:lpstr>
      <vt:lpstr>SADDALL</vt:lpstr>
      <vt:lpstr>SafetyCheck</vt:lpstr>
      <vt:lpstr>SBSA1</vt:lpstr>
      <vt:lpstr>SBST1</vt:lpstr>
      <vt:lpstr>SDED</vt:lpstr>
      <vt:lpstr>SDH</vt:lpstr>
      <vt:lpstr>SDI</vt:lpstr>
      <vt:lpstr>SDIGRS</vt:lpstr>
      <vt:lpstr>SDS</vt:lpstr>
      <vt:lpstr>SMTR1</vt:lpstr>
      <vt:lpstr>SMTR2</vt:lpstr>
      <vt:lpstr>SMTR3</vt:lpstr>
      <vt:lpstr>SMTR4</vt:lpstr>
      <vt:lpstr>SMTR5</vt:lpstr>
      <vt:lpstr>SMTR6</vt:lpstr>
      <vt:lpstr>SOVR1</vt:lpstr>
      <vt:lpstr>STA</vt:lpstr>
      <vt:lpstr>STATE</vt:lpstr>
      <vt:lpstr>STAX1</vt:lpstr>
      <vt:lpstr>STAX2</vt:lpstr>
      <vt:lpstr>STAX3</vt:lpstr>
      <vt:lpstr>STAX4</vt:lpstr>
      <vt:lpstr>STAX5</vt:lpstr>
      <vt:lpstr>STAX6</vt:lpstr>
      <vt:lpstr>STE</vt:lpstr>
      <vt:lpstr>STM</vt:lpstr>
      <vt:lpstr>STXTBLM</vt:lpstr>
      <vt:lpstr>STXTBLS</vt:lpstr>
      <vt:lpstr>STXTBLUH</vt:lpstr>
      <vt:lpstr>TCRM0</vt:lpstr>
      <vt:lpstr>TCRM1</vt:lpstr>
      <vt:lpstr>TCRM2</vt:lpstr>
      <vt:lpstr>TCRMR</vt:lpstr>
      <vt:lpstr>TCRS0</vt:lpstr>
      <vt:lpstr>TCRS1</vt:lpstr>
      <vt:lpstr>TCRS2</vt:lpstr>
      <vt:lpstr>TCRSR</vt:lpstr>
      <vt:lpstr>TIER</vt:lpstr>
      <vt:lpstr>Total_A_R_Deductions</vt:lpstr>
      <vt:lpstr>Total_Flex</vt:lpstr>
      <vt:lpstr>TXCRB</vt:lpstr>
      <vt:lpstr>TXCREDIT</vt:lpstr>
      <vt:lpstr>TXCROV2</vt:lpstr>
      <vt:lpstr>TXCRR</vt:lpstr>
      <vt:lpstr>VOLDEDS</vt:lpstr>
      <vt:lpstr>WORK</vt:lpstr>
    </vt:vector>
  </TitlesOfParts>
  <LinksUpToDate>false</LinksUpToDate>
  <SharedDoc>false</SharedDoc>
  <HyperlinkBase>http://www.sco.ca.gov/ppsd/empinfo/calc/paycalc.shtml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Paycheck Calculator - Tax Rate - Monthly Version</dc:title>
  <dc:subject>Paycheck Calculator - Monthly Version</dc:subject>
  <dc:creator>Contreras, Alice</dc:creator>
  <cp:keywords>Paycheck Calculator - Tax Rate - Monthly Version</cp:keywords>
  <cp:lastModifiedBy>Peters, Andrew</cp:lastModifiedBy>
  <cp:lastPrinted>2011-06-17T16:09:45Z</cp:lastPrinted>
  <dcterms:created xsi:type="dcterms:W3CDTF">2001-09-13T14:13:59Z</dcterms:created>
  <dcterms:modified xsi:type="dcterms:W3CDTF">2023-10-25T15:26:28Z</dcterms:modified>
  <cp:category>Paycheck Calculator - Tax Rate - Monthly Version</cp:category>
</cp:coreProperties>
</file>