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filterPrivacy="1" codeName="ThisWorkbook"/>
  <xr:revisionPtr revIDLastSave="0" documentId="13_ncr:1_{9DABEA37-0834-4727-BF2F-40679481E56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aycheck Calculator" sheetId="1" r:id="rId1"/>
  </sheets>
  <definedNames>
    <definedName name="_FAN1">'Paycheck Calculator'!$N$18</definedName>
    <definedName name="_FTA1">'Paycheck Calculator'!$N$24</definedName>
    <definedName name="_FTG1">'Paycheck Calculator'!$N$19</definedName>
    <definedName name="_STA1">'Paycheck Calculator'!$N$64</definedName>
    <definedName name="_STG1">'Paycheck Calculator'!$N$59</definedName>
    <definedName name="_TG1">'Paycheck Calculator'!$N$17</definedName>
    <definedName name="_TG2">'Paycheck Calculator'!$O$17</definedName>
    <definedName name="_TG3">'Paycheck Calculator'!$P$17</definedName>
    <definedName name="_TG4">'Paycheck Calculator'!$Q$17</definedName>
    <definedName name="_TG5">'Paycheck Calculator'!$R$17</definedName>
    <definedName name="_TG6">'Paycheck Calculator'!$S$17</definedName>
    <definedName name="CA_TAX_TBL_ADDL_ALLOW">'Paycheck Calculator'!$AP$4</definedName>
    <definedName name="CA_TAX_TBL_CREDIT">'Paycheck Calculator'!$AM$68:$AQ$70</definedName>
    <definedName name="CA_TAX_TBL_H">'Paycheck Calculator'!$AM$53:$AO$63</definedName>
    <definedName name="CA_TAX_TBL_LOW_INCOME">'Paycheck Calculator'!$AM$10:$AP$10</definedName>
    <definedName name="CA_TAX_TBL_M">'Paycheck Calculator'!$AM$35:$AO$45</definedName>
    <definedName name="CA_TAX_TBL_S">'Paycheck Calculator'!$AM$19:$AO$29</definedName>
    <definedName name="CA_TAX_TBL_STD_DED">'Paycheck Calculator'!$AM$15:$AP$15</definedName>
    <definedName name="DEF_COMP1">'Paycheck Calculator'!$B$23</definedName>
    <definedName name="DEF_COMP2">'Paycheck Calculator'!$C$23</definedName>
    <definedName name="DEF_COMP3">'Paycheck Calculator'!$D$23</definedName>
    <definedName name="DEF_COMP4">'Paycheck Calculator'!$E$23</definedName>
    <definedName name="DEF_COMP5">'Paycheck Calculator'!$F$23</definedName>
    <definedName name="DEF_COMP6">'Paycheck Calculator'!$G$23</definedName>
    <definedName name="FBSA1">'Paycheck Calculator'!$N$20</definedName>
    <definedName name="FBST1">'Paycheck Calculator'!$N$22</definedName>
    <definedName name="Fed_Claim_Dpnts">'Paycheck Calculator'!$B$12</definedName>
    <definedName name="Fed_Deds">'Paycheck Calculator'!$B$14</definedName>
    <definedName name="FED_EXEMPT_QTY">'Paycheck Calculator'!$B$10</definedName>
    <definedName name="FED_MARITAL_STATUS">'Paycheck Calculator'!$B$9</definedName>
    <definedName name="Fed_Oth_Inc">'Paycheck Calculator'!$B$13</definedName>
    <definedName name="FED_TAX_TBL_H">'Paycheck Calculator'!$AG$35:$AI$42</definedName>
    <definedName name="FED_TAX_TBL_HHW">'Paycheck Calculator'!$AG$69:$AI$76</definedName>
    <definedName name="FED_TAX_TBL_M">'Paycheck Calculator'!$AG$24:$AI$31</definedName>
    <definedName name="FED_TAX_TBL_MHW">'Paycheck Calculator'!$AG$58:$AI$65</definedName>
    <definedName name="FED_TAX_TBL_NAME">'Paycheck Calculator'!$N$13</definedName>
    <definedName name="FED_TAX_TBL_S">'Paycheck Calculator'!$AG$13:$AI$20</definedName>
    <definedName name="FED_TAX_TBL_SHW">'Paycheck Calculator'!$AG$47:$AI$54</definedName>
    <definedName name="FED_TAX_TBL_STD_DED">'Paycheck Calculator'!$AG$7:$AJ$9</definedName>
    <definedName name="FEDERAL">'Paycheck Calculator'!$AG$4:$AI$42</definedName>
    <definedName name="FEDERAL_STD_DED">'Paycheck Calculator'!$N$5</definedName>
    <definedName name="FedHW">'Paycheck Calculator'!$B$11</definedName>
    <definedName name="FLEX_CASH">'Paycheck Calculator'!$B$19</definedName>
    <definedName name="FMTR1">'Paycheck Calculator'!$N$21</definedName>
    <definedName name="FMTR2">'Paycheck Calculator'!$O$21</definedName>
    <definedName name="FMTR3">'Paycheck Calculator'!$P$21</definedName>
    <definedName name="FMTR4">'Paycheck Calculator'!$Q$21</definedName>
    <definedName name="FMTR5">'Paycheck Calculator'!$R$21</definedName>
    <definedName name="FMTR6">'Paycheck Calculator'!$S$21</definedName>
    <definedName name="FOVR1">'Paycheck Calculator'!$N$23</definedName>
    <definedName name="FTAX1">'Paycheck Calculator'!$N$25</definedName>
    <definedName name="FTAX2">'Paycheck Calculator'!$O$25</definedName>
    <definedName name="FTAX3">'Paycheck Calculator'!$P$25</definedName>
    <definedName name="FTAX4">'Paycheck Calculator'!$Q$25</definedName>
    <definedName name="FTAX5">'Paycheck Calculator'!$R$25</definedName>
    <definedName name="FTAX6">'Paycheck Calculator'!$S$25</definedName>
    <definedName name="GROSS">'Paycheck Calculator'!$B$3</definedName>
    <definedName name="IL_TAX_TBL_ADDL_ALLOW">'Paycheck Calculator'!$AV$4</definedName>
    <definedName name="IL_TAX_TBL_CREDIT">'Paycheck Calculator'!$AS$68:$AW$70</definedName>
    <definedName name="IL_TAX_TBL_LOW_INCOME">'Paycheck Calculator'!$AS$10:$AV$10</definedName>
    <definedName name="IL_TAX_TBL_M">'Paycheck Calculator'!$AS$35:$AU$49</definedName>
    <definedName name="IL_TAX_TBL_S">'Paycheck Calculator'!$AS$19:$AU$31</definedName>
    <definedName name="IL_TAX_TBL_STD_DED">'Paycheck Calculator'!$AS$15:$AV$15</definedName>
    <definedName name="INSTRUCTIONS">'Paycheck Calculator'!$A$42:$G$73</definedName>
    <definedName name="MED_RATE">'Paycheck Calculator'!$W$4</definedName>
    <definedName name="MED_TAX_GROSS">'Paycheck Calculator'!$J$50</definedName>
    <definedName name="MED_WH">'Paycheck Calculator'!$J$53</definedName>
    <definedName name="NY_TAX_TBL_ADDL_ALLOW">'Paycheck Calculator'!$BB$4</definedName>
    <definedName name="NY_TAX_TBL_CREDIT">'Paycheck Calculator'!$AY$68:$BC$70</definedName>
    <definedName name="NY_TAX_TBL_LOW_INCOME">'Paycheck Calculator'!$AY$10:$BB$10</definedName>
    <definedName name="NY_TAX_TBL_M">'Paycheck Calculator'!$AY$35:$BA$49</definedName>
    <definedName name="NY_TAX_TBL_S">'Paycheck Calculator'!$AY$19:$BA$31</definedName>
    <definedName name="NY_TAX_TBL_STD_DED">'Paycheck Calculator'!$AY$15:$BB$15</definedName>
    <definedName name="OPEB_01">'Paycheck Calculator'!$AE$5</definedName>
    <definedName name="OPEB_02">'Paycheck Calculator'!$AE$6</definedName>
    <definedName name="OPEB_03">'Paycheck Calculator'!$AE$7</definedName>
    <definedName name="OPEB_04">'Paycheck Calculator'!$AE$8</definedName>
    <definedName name="OPEB_05">'Paycheck Calculator'!$AE$9</definedName>
    <definedName name="OPEB_06">'Paycheck Calculator'!$AE$10</definedName>
    <definedName name="OPEB_07">'Paycheck Calculator'!$AE$11</definedName>
    <definedName name="OPEB_08">'Paycheck Calculator'!$AE$12</definedName>
    <definedName name="OPEB_09">'Paycheck Calculator'!$AE$13</definedName>
    <definedName name="OPEB_10">'Paycheck Calculator'!$AE$14</definedName>
    <definedName name="OPEB_11">'Paycheck Calculator'!$AE$15</definedName>
    <definedName name="OPEB_12">'Paycheck Calculator'!$AE$16</definedName>
    <definedName name="OPEB_13">'Paycheck Calculator'!$AE$17</definedName>
    <definedName name="OPEB_14">'Paycheck Calculator'!$AE$18</definedName>
    <definedName name="OPEB_15">'Paycheck Calculator'!$AE$19</definedName>
    <definedName name="OPEB_16">'Paycheck Calculator'!$AE$20</definedName>
    <definedName name="OPEB_17">'Paycheck Calculator'!$AE$21</definedName>
    <definedName name="OPEB_18">'Paycheck Calculator'!$AE$22</definedName>
    <definedName name="OPEB_19">'Paycheck Calculator'!$AE$23</definedName>
    <definedName name="OPEB_20">'Paycheck Calculator'!$AE$24</definedName>
    <definedName name="OPEB_21">'Paycheck Calculator'!$AE$25</definedName>
    <definedName name="OPEB_48">'Paycheck Calculator'!$AE$26</definedName>
    <definedName name="OPEB_50">'Paycheck Calculator'!$AE$27</definedName>
    <definedName name="OPEB_58">'Paycheck Calculator'!$AE$28</definedName>
    <definedName name="OPEB_59">'Paycheck Calculator'!$AE$29</definedName>
    <definedName name="OPEB_67">'Paycheck Calculator'!$AE$30</definedName>
    <definedName name="OPEB_68">'Paycheck Calculator'!$AE$31</definedName>
    <definedName name="OPEB_77">'Paycheck Calculator'!$AE$32</definedName>
    <definedName name="OPEB_78">'Paycheck Calculator'!$AE$33</definedName>
    <definedName name="OPEB_79">'Paycheck Calculator'!$AE$34</definedName>
    <definedName name="OPEB_88">'Paycheck Calculator'!$AE$35</definedName>
    <definedName name="OPEB_89">'Paycheck Calculator'!$AE$36</definedName>
    <definedName name="OPEB_97">'Paycheck Calculator'!$AE$37</definedName>
    <definedName name="OPEB_98">'Paycheck Calculator'!$AE$38</definedName>
    <definedName name="OPEB_99">'Paycheck Calculator'!$AE$39</definedName>
    <definedName name="OPEB_CBID">'Paycheck Calculator'!$B$6</definedName>
    <definedName name="OPEB_EE_Rate">'Paycheck Calculator'!$J$27</definedName>
    <definedName name="OPEB_ON">'Paycheck Calculator'!$AE$40</definedName>
    <definedName name="OPEB_TABLE">'Paycheck Calculator'!$AD$45:$AE$164</definedName>
    <definedName name="OPEB_WH">'Paycheck Calculator'!$J$32</definedName>
    <definedName name="PAY_FACTOR">'Paycheck Calculator'!$N$4</definedName>
    <definedName name="PAY_FREQ">'Paycheck Calculator'!$B$4</definedName>
    <definedName name="_xlnm.Print_Area" localSheetId="0">'Paycheck Calculator'!$A$1:$G$36</definedName>
    <definedName name="RET_CODE">'Paycheck Calculator'!$B$5</definedName>
    <definedName name="RET_CODE_TABLE">'Paycheck Calculator'!$Y$5:$AB$474</definedName>
    <definedName name="RET_EE_RATE">'Paycheck Calculator'!$J$6</definedName>
    <definedName name="RET_EXCL_B">'Paycheck Calculator'!$J$15</definedName>
    <definedName name="RET_EXCL_M">'Paycheck Calculator'!$J$9</definedName>
    <definedName name="RET_EXCL_S">'Paycheck Calculator'!$J$11</definedName>
    <definedName name="RET_EXCLUSION">'Paycheck Calculator'!$J$5</definedName>
    <definedName name="RET_WH">'Paycheck Calculator'!$J$22</definedName>
    <definedName name="SBSA1">'Paycheck Calculator'!$N$60</definedName>
    <definedName name="SBST1">'Paycheck Calculator'!$N$62</definedName>
    <definedName name="SDI">'Paycheck Calculator'!$B$18</definedName>
    <definedName name="SDI_RATE">'Paycheck Calculator'!$W$5</definedName>
    <definedName name="SDI_TAX_GROSS">'Paycheck Calculator'!$J$57</definedName>
    <definedName name="SDI_WH">'Paycheck Calculator'!$J$60</definedName>
    <definedName name="SEMI_HALF">'Paycheck Calculator'!$B$7</definedName>
    <definedName name="SMTR1">'Paycheck Calculator'!$N$61</definedName>
    <definedName name="SOVR1">'Paycheck Calculator'!$N$63</definedName>
    <definedName name="SS_MED">'Paycheck Calculator'!$B$8</definedName>
    <definedName name="SS_MED_SDI_TAX_GROSS">'Paycheck Calculator'!$J$40</definedName>
    <definedName name="SS_RATE">'Paycheck Calculator'!$W$3</definedName>
    <definedName name="SS_TAX_GROSS">'Paycheck Calculator'!$J$43</definedName>
    <definedName name="SS_WH">'Paycheck Calculator'!$J$46</definedName>
    <definedName name="STATE">'Paycheck Calculator'!$B$2</definedName>
    <definedName name="STATE_ADDTL_ALLOWANCE">'Paycheck Calculator'!$N$33</definedName>
    <definedName name="STATE_ADDTL_EXEMPTIONS">'Paycheck Calculator'!$B$17</definedName>
    <definedName name="STATE_EXEMPTIONS">'Paycheck Calculator'!$B$16</definedName>
    <definedName name="STATE_LOW_INC_EXEMPT">'Paycheck Calculator'!$N$35</definedName>
    <definedName name="STATE_MARITAL_STATUS">'Paycheck Calculator'!$B$15</definedName>
    <definedName name="STATE_STD_DED">'Paycheck Calculator'!$N$34</definedName>
    <definedName name="STAX1">'Paycheck Calculator'!$N$65</definedName>
    <definedName name="STAX2">'Paycheck Calculator'!$O$65</definedName>
    <definedName name="STAX3">'Paycheck Calculator'!$P$65</definedName>
    <definedName name="STAX4">'Paycheck Calculator'!$Q$65</definedName>
    <definedName name="STAX5">'Paycheck Calculator'!$R$65</definedName>
    <definedName name="STAX6">'Paycheck Calculator'!$S$65</definedName>
    <definedName name="Total_AR_Ded">'Paycheck Calculator'!$B$21</definedName>
    <definedName name="Total_Flex">'Paycheck Calculator'!$B$20</definedName>
    <definedName name="Total_Voluntary_Ded">'Paycheck Calculator'!$B$22</definedName>
    <definedName name="TXCRB">'Paycheck Calculator'!$N$37</definedName>
    <definedName name="TXCREDIT">'Paycheck Calculator'!$N$39</definedName>
    <definedName name="TXCROV2">'Paycheck Calculator'!$N$38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0" i="1" l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122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J31" i="1" s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BF14" i="1"/>
  <c r="G14" i="1" s="1"/>
  <c r="BF13" i="1"/>
  <c r="G13" i="1" s="1"/>
  <c r="BF12" i="1"/>
  <c r="G12" i="1" s="1"/>
  <c r="BF11" i="1"/>
  <c r="G11" i="1" s="1"/>
  <c r="N10" i="1"/>
  <c r="N12" i="1"/>
  <c r="N9" i="1"/>
  <c r="BF2" i="1"/>
  <c r="G2" i="1" s="1"/>
  <c r="BF18" i="1"/>
  <c r="G18" i="1" s="1"/>
  <c r="BF15" i="1"/>
  <c r="G15" i="1" s="1"/>
  <c r="BF9" i="1"/>
  <c r="G9" i="1" s="1"/>
  <c r="BF6" i="1"/>
  <c r="G6" i="1" s="1"/>
  <c r="BF7" i="1"/>
  <c r="G7" i="1" s="1"/>
  <c r="BF4" i="1"/>
  <c r="G4" i="1" s="1"/>
  <c r="BF5" i="1"/>
  <c r="G5" i="1" s="1"/>
  <c r="N46" i="1"/>
  <c r="N52" i="1" s="1"/>
  <c r="N44" i="1"/>
  <c r="N43" i="1"/>
  <c r="N45" i="1" s="1"/>
  <c r="N4" i="1"/>
  <c r="N11" i="1"/>
  <c r="J59" i="1"/>
  <c r="J58" i="1"/>
  <c r="J51" i="1"/>
  <c r="J38" i="1"/>
  <c r="J37" i="1"/>
  <c r="J36" i="1"/>
  <c r="J44" i="1"/>
  <c r="J30" i="1"/>
  <c r="J26" i="1"/>
  <c r="N5" i="1"/>
  <c r="N33" i="1"/>
  <c r="J27" i="1" l="1"/>
  <c r="N50" i="1"/>
  <c r="N51" i="1"/>
  <c r="N49" i="1"/>
  <c r="N47" i="1"/>
  <c r="N48" i="1"/>
  <c r="N54" i="1"/>
  <c r="N13" i="1"/>
  <c r="J32" i="1"/>
  <c r="E29" i="1" s="1"/>
  <c r="J13" i="1"/>
  <c r="J4" i="1"/>
  <c r="J18" i="1"/>
  <c r="N38" i="1"/>
  <c r="N37" i="1"/>
  <c r="N34" i="1"/>
  <c r="N35" i="1"/>
  <c r="N39" i="1" l="1"/>
  <c r="B29" i="1"/>
  <c r="C29" i="1"/>
  <c r="J39" i="1"/>
  <c r="J40" i="1" s="1"/>
  <c r="J57" i="1" s="1"/>
  <c r="J60" i="1" s="1"/>
  <c r="D29" i="1"/>
  <c r="F29" i="1"/>
  <c r="G29" i="1"/>
  <c r="C32" i="1" l="1"/>
  <c r="B32" i="1"/>
  <c r="E32" i="1"/>
  <c r="D32" i="1"/>
  <c r="F32" i="1"/>
  <c r="G32" i="1"/>
  <c r="J43" i="1"/>
  <c r="J50" i="1"/>
  <c r="G36" i="1" l="1"/>
  <c r="E36" i="1"/>
  <c r="D36" i="1"/>
  <c r="F36" i="1"/>
  <c r="C36" i="1"/>
  <c r="B36" i="1"/>
  <c r="B35" i="1"/>
  <c r="G35" i="1"/>
  <c r="F35" i="1"/>
  <c r="E35" i="1"/>
  <c r="D35" i="1"/>
  <c r="C35" i="1"/>
  <c r="B8" i="1"/>
  <c r="J45" i="1" s="1"/>
  <c r="J46" i="1" s="1"/>
  <c r="J5" i="1"/>
  <c r="J9" i="1" s="1"/>
  <c r="J6" i="1"/>
  <c r="J21" i="1" s="1"/>
  <c r="J12" i="1" l="1"/>
  <c r="J11" i="1" s="1"/>
  <c r="J19" i="1" s="1"/>
  <c r="J20" i="1" s="1"/>
  <c r="J22" i="1" s="1"/>
  <c r="E30" i="1"/>
  <c r="G30" i="1"/>
  <c r="B30" i="1"/>
  <c r="F30" i="1"/>
  <c r="C30" i="1"/>
  <c r="D30" i="1"/>
  <c r="J52" i="1"/>
  <c r="J53" i="1" s="1"/>
  <c r="J15" i="1"/>
  <c r="C31" i="1" l="1"/>
  <c r="D31" i="1"/>
  <c r="F31" i="1"/>
  <c r="E31" i="1"/>
  <c r="G31" i="1"/>
  <c r="B31" i="1"/>
  <c r="Q57" i="1"/>
  <c r="N57" i="1"/>
  <c r="O57" i="1"/>
  <c r="S57" i="1"/>
  <c r="N17" i="1"/>
  <c r="P57" i="1"/>
  <c r="R17" i="1"/>
  <c r="Q17" i="1"/>
  <c r="O17" i="1"/>
  <c r="S17" i="1"/>
  <c r="P17" i="1"/>
  <c r="E28" i="1"/>
  <c r="R57" i="1"/>
  <c r="G28" i="1"/>
  <c r="D28" i="1"/>
  <c r="F28" i="1"/>
  <c r="B28" i="1"/>
  <c r="C28" i="1"/>
  <c r="N18" i="1" l="1"/>
  <c r="N19" i="1" s="1"/>
  <c r="B33" i="1"/>
  <c r="O58" i="1"/>
  <c r="C34" i="1"/>
  <c r="E33" i="1"/>
  <c r="Q18" i="1"/>
  <c r="Q19" i="1" s="1"/>
  <c r="F33" i="1"/>
  <c r="R18" i="1"/>
  <c r="R19" i="1" s="1"/>
  <c r="N58" i="1"/>
  <c r="B34" i="1"/>
  <c r="S58" i="1"/>
  <c r="G34" i="1"/>
  <c r="P58" i="1"/>
  <c r="D34" i="1"/>
  <c r="R58" i="1"/>
  <c r="F34" i="1"/>
  <c r="Q58" i="1"/>
  <c r="E34" i="1"/>
  <c r="D33" i="1"/>
  <c r="P18" i="1"/>
  <c r="P19" i="1" s="1"/>
  <c r="C33" i="1"/>
  <c r="O18" i="1"/>
  <c r="O19" i="1" s="1"/>
  <c r="G33" i="1"/>
  <c r="S18" i="1"/>
  <c r="S19" i="1" s="1"/>
  <c r="N20" i="1"/>
  <c r="R22" i="1"/>
  <c r="O21" i="1"/>
  <c r="S20" i="1"/>
  <c r="Q21" i="1"/>
  <c r="P21" i="1"/>
  <c r="R59" i="1" l="1"/>
  <c r="N59" i="1"/>
  <c r="P59" i="1"/>
  <c r="S59" i="1"/>
  <c r="S23" i="1"/>
  <c r="O59" i="1"/>
  <c r="Q59" i="1"/>
  <c r="P20" i="1"/>
  <c r="S21" i="1"/>
  <c r="R20" i="1"/>
  <c r="S22" i="1"/>
  <c r="P61" i="1"/>
  <c r="R62" i="1"/>
  <c r="O22" i="1"/>
  <c r="N21" i="1"/>
  <c r="Q20" i="1"/>
  <c r="Q22" i="1"/>
  <c r="S62" i="1"/>
  <c r="N22" i="1"/>
  <c r="R21" i="1"/>
  <c r="Q61" i="1"/>
  <c r="O20" i="1"/>
  <c r="P22" i="1"/>
  <c r="N61" i="1"/>
  <c r="O60" i="1"/>
  <c r="S24" i="1" l="1"/>
  <c r="S25" i="1" s="1"/>
  <c r="G26" i="1" s="1"/>
  <c r="P23" i="1"/>
  <c r="P24" i="1" s="1"/>
  <c r="P25" i="1" s="1"/>
  <c r="D26" i="1" s="1"/>
  <c r="N23" i="1"/>
  <c r="N24" i="1" s="1"/>
  <c r="O23" i="1"/>
  <c r="O24" i="1" s="1"/>
  <c r="O25" i="1" s="1"/>
  <c r="C26" i="1" s="1"/>
  <c r="Q23" i="1"/>
  <c r="Q24" i="1" s="1"/>
  <c r="Q25" i="1" s="1"/>
  <c r="E26" i="1" s="1"/>
  <c r="R23" i="1"/>
  <c r="R24" i="1" s="1"/>
  <c r="R25" i="1" s="1"/>
  <c r="F26" i="1" s="1"/>
  <c r="O63" i="1"/>
  <c r="S60" i="1"/>
  <c r="S61" i="1"/>
  <c r="O62" i="1"/>
  <c r="O61" i="1"/>
  <c r="P60" i="1"/>
  <c r="Q62" i="1"/>
  <c r="N60" i="1"/>
  <c r="R60" i="1"/>
  <c r="Q60" i="1"/>
  <c r="P62" i="1"/>
  <c r="N62" i="1"/>
  <c r="R61" i="1"/>
  <c r="N25" i="1" l="1"/>
  <c r="R63" i="1"/>
  <c r="R64" i="1" s="1"/>
  <c r="R65" i="1" s="1"/>
  <c r="F24" i="1" s="1"/>
  <c r="O64" i="1"/>
  <c r="O65" i="1" s="1"/>
  <c r="C27" i="1" s="1"/>
  <c r="N63" i="1"/>
  <c r="N64" i="1" s="1"/>
  <c r="N65" i="1" s="1"/>
  <c r="B27" i="1" s="1"/>
  <c r="P63" i="1"/>
  <c r="P64" i="1" s="1"/>
  <c r="P65" i="1" s="1"/>
  <c r="D27" i="1" s="1"/>
  <c r="S63" i="1"/>
  <c r="S64" i="1" s="1"/>
  <c r="S65" i="1" s="1"/>
  <c r="G27" i="1" s="1"/>
  <c r="Q63" i="1"/>
  <c r="Q64" i="1" s="1"/>
  <c r="Q65" i="1" s="1"/>
  <c r="E27" i="1" s="1"/>
  <c r="B24" i="1" l="1"/>
  <c r="F25" i="1" s="1"/>
  <c r="B26" i="1"/>
  <c r="F27" i="1"/>
  <c r="C24" i="1"/>
  <c r="D24" i="1"/>
  <c r="E24" i="1"/>
  <c r="G24" i="1"/>
  <c r="D25" i="1" l="1"/>
  <c r="E25" i="1"/>
  <c r="C25" i="1"/>
  <c r="G25" i="1"/>
</calcChain>
</file>

<file path=xl/sharedStrings.xml><?xml version="1.0" encoding="utf-8"?>
<sst xmlns="http://schemas.openxmlformats.org/spreadsheetml/2006/main" count="1501" uniqueCount="836">
  <si>
    <t>Validation</t>
  </si>
  <si>
    <t>State Tax</t>
  </si>
  <si>
    <t>CA</t>
  </si>
  <si>
    <t>(CA, IL, NY)</t>
  </si>
  <si>
    <t>Federal Tax Tables</t>
  </si>
  <si>
    <t>CA Tax Tables</t>
  </si>
  <si>
    <t>IL Tax Tables</t>
  </si>
  <si>
    <t>NY Tax Tables</t>
  </si>
  <si>
    <t>State: Must be CA, IL, or NY</t>
  </si>
  <si>
    <t>Gross Pay</t>
  </si>
  <si>
    <t xml:space="preserve"> </t>
  </si>
  <si>
    <t>Retirement Code Table Lookup</t>
  </si>
  <si>
    <t>FEDERAL TAX</t>
  </si>
  <si>
    <t>SS</t>
  </si>
  <si>
    <t>RET_CODE_TABLE</t>
  </si>
  <si>
    <t>OPEB_TABLE EZ</t>
  </si>
  <si>
    <t>Pay Frequency</t>
  </si>
  <si>
    <t>M</t>
  </si>
  <si>
    <t>(M, S, B)</t>
  </si>
  <si>
    <t>Retirement Code</t>
  </si>
  <si>
    <t>Pay Factor</t>
  </si>
  <si>
    <t>(pay periods per year)</t>
  </si>
  <si>
    <t>MED</t>
  </si>
  <si>
    <t>Code</t>
  </si>
  <si>
    <t>EE Rate</t>
  </si>
  <si>
    <t>Excl. Amt.</t>
  </si>
  <si>
    <t>SS/Med</t>
  </si>
  <si>
    <t>_ID</t>
  </si>
  <si>
    <t>STANDARD DEDUCTION TABLE</t>
  </si>
  <si>
    <t>ADDITIONAL ALLOWANCES</t>
  </si>
  <si>
    <t>Pay Freq: Must be M, S, or B</t>
  </si>
  <si>
    <t>2A</t>
  </si>
  <si>
    <t>Contact your HR for Retirement Code.</t>
  </si>
  <si>
    <t>Ret Exclusion</t>
  </si>
  <si>
    <t>Standard Deduction</t>
  </si>
  <si>
    <t>SDI</t>
  </si>
  <si>
    <t>00</t>
  </si>
  <si>
    <t>NO</t>
  </si>
  <si>
    <t>01</t>
  </si>
  <si>
    <t>FED MARITAL</t>
  </si>
  <si>
    <t>W-4</t>
  </si>
  <si>
    <t>--- HIGH WAGES ---</t>
  </si>
  <si>
    <t>Retirement code: Must be in lookup table</t>
  </si>
  <si>
    <t>OPEB CBID</t>
  </si>
  <si>
    <t>R01</t>
  </si>
  <si>
    <t>Contact your HR for OPEB CBID.</t>
  </si>
  <si>
    <t>Ret EE Rate</t>
  </si>
  <si>
    <t>02</t>
  </si>
  <si>
    <t>STATUS</t>
  </si>
  <si>
    <t>PRE-2020</t>
  </si>
  <si>
    <t>Y</t>
  </si>
  <si>
    <t>N</t>
  </si>
  <si>
    <t>OPEB CBID: Must be in lookup table</t>
  </si>
  <si>
    <t>1st Half (1) or 2nd Half (2)</t>
  </si>
  <si>
    <t>Semi-monthly pay frequency only. See instructions below.</t>
  </si>
  <si>
    <t>03</t>
  </si>
  <si>
    <t>LOW INCOME TAX EXEMPTION</t>
  </si>
  <si>
    <t xml:space="preserve">          LOW INCOME TAX EXEMPTION</t>
  </si>
  <si>
    <t>Semi half: If pay freq is S, must be 1 or 2</t>
  </si>
  <si>
    <t>Social Security/Medicare</t>
  </si>
  <si>
    <t>Automatically determined by Retirement Code.</t>
  </si>
  <si>
    <t>Retirement Exclusion</t>
  </si>
  <si>
    <t>Std. Deduction Table</t>
  </si>
  <si>
    <t>FED_TAX_TBL_STD_DED</t>
  </si>
  <si>
    <t>04</t>
  </si>
  <si>
    <t>S</t>
  </si>
  <si>
    <t xml:space="preserve"> --- MARRIED ---</t>
  </si>
  <si>
    <t>HEAD OF</t>
  </si>
  <si>
    <t>Federal Marital Status</t>
  </si>
  <si>
    <t>(S, M, H, E)</t>
  </si>
  <si>
    <t>Monthly</t>
  </si>
  <si>
    <t>Std. Deduction Column</t>
  </si>
  <si>
    <t>05</t>
  </si>
  <si>
    <t>H</t>
  </si>
  <si>
    <t>SINGLE</t>
  </si>
  <si>
    <t>0 or 1</t>
  </si>
  <si>
    <t>2 or more</t>
  </si>
  <si>
    <t>HOUSEHOLD</t>
  </si>
  <si>
    <t>Fed Matital: Must be S, M, H, or E</t>
  </si>
  <si>
    <t>Number of Exemptions Fed</t>
  </si>
  <si>
    <t>Leave blank when using STD 686 or STD 457 effective 12/2020 or later.</t>
  </si>
  <si>
    <t>Std. Deduction Multiplier</t>
  </si>
  <si>
    <t>06</t>
  </si>
  <si>
    <t>Federal Higher Withholding</t>
  </si>
  <si>
    <t>(YES, NO, or Blank)  See Instructions below.</t>
  </si>
  <si>
    <t>Semimonthly</t>
  </si>
  <si>
    <t>Fed Marital Status</t>
  </si>
  <si>
    <t>07</t>
  </si>
  <si>
    <t>SINGLE (S)</t>
  </si>
  <si>
    <t>Fed High Wage: Must be YES or NO if Fed Exemptions blank, or blank if Fed Exemptions not blank</t>
  </si>
  <si>
    <t>Federal Claim Dependents</t>
  </si>
  <si>
    <t>Enter annual dollar amount. See instructions below.</t>
  </si>
  <si>
    <t>1st Half</t>
  </si>
  <si>
    <t>Fed HW</t>
  </si>
  <si>
    <t>08</t>
  </si>
  <si>
    <t>BASE AMT</t>
  </si>
  <si>
    <t>PERCENT</t>
  </si>
  <si>
    <t>BASE TAX</t>
  </si>
  <si>
    <t xml:space="preserve">       STANDARD DEDUCTION TABLE</t>
  </si>
  <si>
    <t>Federal Claim Dependents: 0 or blank if Fed Exemptions</t>
  </si>
  <si>
    <t>Federal Other Income</t>
  </si>
  <si>
    <t>2nd Half</t>
  </si>
  <si>
    <t>Tax Table</t>
  </si>
  <si>
    <t>09</t>
  </si>
  <si>
    <t>Federal Other Income: 0 or blank if Fed Exemptions</t>
  </si>
  <si>
    <t>Federal Deductions</t>
  </si>
  <si>
    <t>10</t>
  </si>
  <si>
    <t>Federal Deductions: 0 or blank if Fed Exemptions</t>
  </si>
  <si>
    <t>State Marital Status</t>
  </si>
  <si>
    <t>(S, M, H)</t>
  </si>
  <si>
    <t>Biweekly</t>
  </si>
  <si>
    <t>0A</t>
  </si>
  <si>
    <t>11</t>
  </si>
  <si>
    <t>State Marital: Must be S, M, or H</t>
  </si>
  <si>
    <t>Number of Exemptions State</t>
  </si>
  <si>
    <t>(1-99)</t>
  </si>
  <si>
    <t>0B</t>
  </si>
  <si>
    <t>12</t>
  </si>
  <si>
    <t>Additional Exemptions State</t>
  </si>
  <si>
    <t>Retirement Withholding</t>
  </si>
  <si>
    <t>TAXABLE GROSS</t>
  </si>
  <si>
    <t>0C</t>
  </si>
  <si>
    <t>13</t>
  </si>
  <si>
    <t>YES</t>
  </si>
  <si>
    <t>(YES, NO)</t>
  </si>
  <si>
    <t>Gross</t>
  </si>
  <si>
    <t>ANNUALIZED GROSS</t>
  </si>
  <si>
    <t>0D</t>
  </si>
  <si>
    <t>14</t>
  </si>
  <si>
    <t>SDI: Must be YES, or NO</t>
  </si>
  <si>
    <t>Flex Cash Option</t>
  </si>
  <si>
    <t>Shown as FLEX CASH or COBEN CASH.</t>
  </si>
  <si>
    <t>Exclusion</t>
  </si>
  <si>
    <t>-</t>
  </si>
  <si>
    <t>ANN. TAXABLE GROSS</t>
  </si>
  <si>
    <t>0E</t>
  </si>
  <si>
    <t>15</t>
  </si>
  <si>
    <t>Total Other Flex Deductions</t>
  </si>
  <si>
    <t>See instructions below.</t>
  </si>
  <si>
    <t>BASE AMOUNT</t>
  </si>
  <si>
    <t>0F</t>
  </si>
  <si>
    <t>16</t>
  </si>
  <si>
    <t>Total A/R Deductions</t>
  </si>
  <si>
    <t>Account Receivable deduction (Shown as ACCT RCVBL)</t>
  </si>
  <si>
    <t>x</t>
  </si>
  <si>
    <t>MARGINAL TAX RATE</t>
  </si>
  <si>
    <t>0G</t>
  </si>
  <si>
    <t>17</t>
  </si>
  <si>
    <t>Total Voluntary Deductions</t>
  </si>
  <si>
    <t>BASE TAX AMOUNT</t>
  </si>
  <si>
    <t>0H</t>
  </si>
  <si>
    <t>18</t>
  </si>
  <si>
    <t>MARRIED (M)</t>
  </si>
  <si>
    <t xml:space="preserve">Deferred Comp/TSA </t>
  </si>
  <si>
    <t>OVER BASE AMOUNT</t>
  </si>
  <si>
    <t>19</t>
  </si>
  <si>
    <t>NET PAY</t>
  </si>
  <si>
    <t>ANNUALIZED TAX</t>
  </si>
  <si>
    <t>20</t>
  </si>
  <si>
    <t>Difference in Net</t>
  </si>
  <si>
    <t>OPEB CBID Table Lookup</t>
  </si>
  <si>
    <t>PAY PERIOD TAX</t>
  </si>
  <si>
    <t>21</t>
  </si>
  <si>
    <t>Federal Tax Withheld</t>
  </si>
  <si>
    <t>48</t>
  </si>
  <si>
    <t>State Tax Withheld</t>
  </si>
  <si>
    <t>OPEB EE Rate</t>
  </si>
  <si>
    <t>50</t>
  </si>
  <si>
    <t>Retirement Withheld</t>
  </si>
  <si>
    <t>58</t>
  </si>
  <si>
    <t>OPEB Withheld</t>
  </si>
  <si>
    <t>OPEB Withholding</t>
  </si>
  <si>
    <t>59</t>
  </si>
  <si>
    <t>Social Security Withheld</t>
  </si>
  <si>
    <t>67</t>
  </si>
  <si>
    <t>Medicare Withheld</t>
  </si>
  <si>
    <t>68</t>
  </si>
  <si>
    <t>SDI Withheld</t>
  </si>
  <si>
    <t>STATE TAX</t>
  </si>
  <si>
    <t>77</t>
  </si>
  <si>
    <t>Federal Taxable Gross</t>
  </si>
  <si>
    <t>Additional Allowance</t>
  </si>
  <si>
    <t>1A</t>
  </si>
  <si>
    <t>78</t>
  </si>
  <si>
    <t>HEAD OF HOUSEHOLD (H)</t>
  </si>
  <si>
    <t>MARRIED</t>
  </si>
  <si>
    <t>State Taxable Gross</t>
  </si>
  <si>
    <t>1B</t>
  </si>
  <si>
    <t>79</t>
  </si>
  <si>
    <t>Social Security Taxable Gross</t>
  </si>
  <si>
    <t>SS/MED/SDI Taxable Gross</t>
  </si>
  <si>
    <t>Low Income Exemption</t>
  </si>
  <si>
    <t>1C</t>
  </si>
  <si>
    <t>88</t>
  </si>
  <si>
    <t>Medicare Taxable Gross</t>
  </si>
  <si>
    <t>1D</t>
  </si>
  <si>
    <t>89</t>
  </si>
  <si>
    <t>Flex Cash</t>
  </si>
  <si>
    <t>+</t>
  </si>
  <si>
    <t>Tax Credit (0-2)</t>
  </si>
  <si>
    <t>1E</t>
  </si>
  <si>
    <t>97</t>
  </si>
  <si>
    <t>GENERAL INFORMATION</t>
  </si>
  <si>
    <t>Other Flex</t>
  </si>
  <si>
    <t>Tax Credit (3+)</t>
  </si>
  <si>
    <t>1F</t>
  </si>
  <si>
    <t>98</t>
  </si>
  <si>
    <t>OPEB</t>
  </si>
  <si>
    <t>Tax Credit (Total)</t>
  </si>
  <si>
    <t>1G</t>
  </si>
  <si>
    <t>99</t>
  </si>
  <si>
    <t>This spreadsheet can be used to calculate net pay and withholding amounts for employees paid on a monthly,</t>
  </si>
  <si>
    <t>1H</t>
  </si>
  <si>
    <t>ON</t>
  </si>
  <si>
    <t xml:space="preserve">semi-monthly, or bi-weekly basis.  By changing the marital status or number of exemptions, you can project </t>
  </si>
  <si>
    <t>1J</t>
  </si>
  <si>
    <t>your net and withholding amounts based on these changes.  The different rows of the spreadsheet show the</t>
  </si>
  <si>
    <t>Social Security Withholding</t>
  </si>
  <si>
    <t>State Tax Tables</t>
  </si>
  <si>
    <t>1K</t>
  </si>
  <si>
    <t>various nets and withholding amounts based on the different deferred compensation or TSA  amounts at the</t>
  </si>
  <si>
    <t>SS Tax Gross</t>
  </si>
  <si>
    <t>State</t>
  </si>
  <si>
    <t>1L</t>
  </si>
  <si>
    <t>OPEB_TABLE</t>
  </si>
  <si>
    <t>head of the column ($0, $100.00, $200.00, $300.00, $400.00, $500.00).  You can use these amounts to compare</t>
  </si>
  <si>
    <t>SS Rate</t>
  </si>
  <si>
    <t>1M</t>
  </si>
  <si>
    <t>differences if you are considering making changes to your deferred compensation or TSA withholding amount.</t>
  </si>
  <si>
    <t>Withheld?</t>
  </si>
  <si>
    <t>Add'l Allowance Table</t>
  </si>
  <si>
    <t>1P</t>
  </si>
  <si>
    <t>C01</t>
  </si>
  <si>
    <t>SINGLE - HIGH WAGE (I)</t>
  </si>
  <si>
    <t>State Exemptions</t>
  </si>
  <si>
    <t>1Q</t>
  </si>
  <si>
    <t>C02</t>
  </si>
  <si>
    <t>Low Income Table</t>
  </si>
  <si>
    <t>1R</t>
  </si>
  <si>
    <t>C03</t>
  </si>
  <si>
    <t>Specific entry instructions:</t>
  </si>
  <si>
    <t>Low Income Column</t>
  </si>
  <si>
    <t>1S</t>
  </si>
  <si>
    <t>C04</t>
  </si>
  <si>
    <t>Medicare Withholding</t>
  </si>
  <si>
    <t>1T</t>
  </si>
  <si>
    <t>C05</t>
  </si>
  <si>
    <r>
      <rPr>
        <b/>
        <u/>
        <sz val="12"/>
        <rFont val="Calibri"/>
        <family val="2"/>
        <scheme val="minor"/>
      </rPr>
      <t>State Tax</t>
    </r>
    <r>
      <rPr>
        <sz val="12"/>
        <rFont val="Calibri"/>
        <family val="2"/>
        <scheme val="minor"/>
      </rPr>
      <t xml:space="preserve"> - Enter the state your income is taxed by. (CA=California, IL=Illinois, NY=New York)</t>
    </r>
  </si>
  <si>
    <t>Med Tax Gross</t>
  </si>
  <si>
    <t>1U</t>
  </si>
  <si>
    <t>C06</t>
  </si>
  <si>
    <t>Med Rate</t>
  </si>
  <si>
    <t>Tax Credit Table</t>
  </si>
  <si>
    <t>1V</t>
  </si>
  <si>
    <t>C07</t>
  </si>
  <si>
    <t>UNMARRIED HEAD OF HOUSEHOLD</t>
  </si>
  <si>
    <r>
      <t>Gross Pay</t>
    </r>
    <r>
      <rPr>
        <sz val="12"/>
        <rFont val="Calibri"/>
        <family val="2"/>
        <scheme val="minor"/>
      </rPr>
      <t xml:space="preserve"> - Enter your gross monthly pay.  This amount is shown on your earnings statement/direct deposit advice</t>
    </r>
  </si>
  <si>
    <t>Tax Credit Column (0-2)</t>
  </si>
  <si>
    <t>1W</t>
  </si>
  <si>
    <t>C08</t>
  </si>
  <si>
    <t>as REGULAR.  Do not add in FLEX CASH.</t>
  </si>
  <si>
    <t>Tax Credit Column (3+)</t>
  </si>
  <si>
    <t>1X</t>
  </si>
  <si>
    <t>C09</t>
  </si>
  <si>
    <t>n/a</t>
  </si>
  <si>
    <t>Tax Table Name</t>
  </si>
  <si>
    <t>1Y</t>
  </si>
  <si>
    <t>C10</t>
  </si>
  <si>
    <r>
      <rPr>
        <b/>
        <u/>
        <sz val="12"/>
        <rFont val="Calibri"/>
        <family val="2"/>
        <scheme val="minor"/>
      </rPr>
      <t>Pay Frequency</t>
    </r>
    <r>
      <rPr>
        <sz val="12"/>
        <rFont val="Calibri"/>
        <family val="2"/>
        <scheme val="minor"/>
      </rPr>
      <t xml:space="preserve"> - Enter your pay frequency. (M=Monthly, S=Semimonthly, B=Biweekly)</t>
    </r>
  </si>
  <si>
    <t>1Z</t>
  </si>
  <si>
    <t>C11</t>
  </si>
  <si>
    <t>SDI Withholding</t>
  </si>
  <si>
    <t>C12</t>
  </si>
  <si>
    <t>MARRIED - HIGH WAGE (A)</t>
  </si>
  <si>
    <r>
      <t>Retirement Code</t>
    </r>
    <r>
      <rPr>
        <sz val="12"/>
        <rFont val="Calibri"/>
        <family val="2"/>
        <scheme val="minor"/>
      </rPr>
      <t xml:space="preserve"> - Please call your HR department for the Retirement Code. Your code may change when rates are changed.</t>
    </r>
  </si>
  <si>
    <t>SDI Gross</t>
  </si>
  <si>
    <t>C13</t>
  </si>
  <si>
    <t>SDI Rate</t>
  </si>
  <si>
    <t>22</t>
  </si>
  <si>
    <t>C14</t>
  </si>
  <si>
    <r>
      <t>OPEB CBID</t>
    </r>
    <r>
      <rPr>
        <sz val="12"/>
        <rFont val="Calibri"/>
        <family val="2"/>
        <scheme val="minor"/>
      </rPr>
      <t xml:space="preserve"> - Please call your HR department for your OPEB CBID.  Enter "NON" if you are not subject to OPEB contributions.</t>
    </r>
  </si>
  <si>
    <t>23</t>
  </si>
  <si>
    <t>C15</t>
  </si>
  <si>
    <t>24</t>
  </si>
  <si>
    <t>C16</t>
  </si>
  <si>
    <r>
      <rPr>
        <b/>
        <u/>
        <sz val="12"/>
        <rFont val="Calibri"/>
        <family val="2"/>
        <scheme val="minor"/>
      </rPr>
      <t>1st Half (1) or 2nd Half (2)</t>
    </r>
    <r>
      <rPr>
        <b/>
        <sz val="12"/>
        <rFont val="Calibri"/>
        <family val="2"/>
        <scheme val="minor"/>
      </rPr>
      <t>-</t>
    </r>
    <r>
      <rPr>
        <sz val="12"/>
        <rFont val="Calibri"/>
        <family val="2"/>
        <scheme val="minor"/>
      </rPr>
      <t xml:space="preserve">If calculating pay for the 1st half for a semi-monthly employee or if calculating pay for the 2nd half </t>
    </r>
  </si>
  <si>
    <t>25</t>
  </si>
  <si>
    <t>C17</t>
  </si>
  <si>
    <r>
      <t>when an employee will not receive pay in the 1</t>
    </r>
    <r>
      <rPr>
        <vertAlign val="superscript"/>
        <sz val="12"/>
        <rFont val="Calibri"/>
        <family val="2"/>
        <scheme val="minor"/>
      </rPr>
      <t>st</t>
    </r>
    <r>
      <rPr>
        <sz val="12"/>
        <rFont val="Calibri"/>
        <family val="2"/>
        <scheme val="minor"/>
      </rPr>
      <t xml:space="preserve"> half, enter 1 in B7 to allow the retirement exclusion (e.g. - $513) to apply appropriately.</t>
    </r>
  </si>
  <si>
    <t>27</t>
  </si>
  <si>
    <t>C18</t>
  </si>
  <si>
    <t xml:space="preserve">If the employee received 1st half pay, you must enter 2 in B7 so that the retirement exclusion will not apply a second time. </t>
  </si>
  <si>
    <t>C19</t>
  </si>
  <si>
    <r>
      <t xml:space="preserve">If the full amount of the retirement exclusion was not applied to the first half payment, </t>
    </r>
    <r>
      <rPr>
        <b/>
        <sz val="12"/>
        <rFont val="Calibri"/>
        <family val="2"/>
        <scheme val="minor"/>
      </rPr>
      <t>you should not</t>
    </r>
  </si>
  <si>
    <t>2B</t>
  </si>
  <si>
    <t>C20</t>
  </si>
  <si>
    <r>
      <t xml:space="preserve">use the calculator to appropriately calculate the second half payment </t>
    </r>
    <r>
      <rPr>
        <sz val="12"/>
        <rFont val="Calibri"/>
        <family val="2"/>
        <scheme val="minor"/>
      </rPr>
      <t xml:space="preserve">(e.g. first half gross = $400 and retirement </t>
    </r>
  </si>
  <si>
    <t>2C</t>
  </si>
  <si>
    <t>C21</t>
  </si>
  <si>
    <t>TAX CREDIT TABLE</t>
  </si>
  <si>
    <t xml:space="preserve">exclusion = $513,  no retirement will be withheld from the first half payment).  In this case, the remainder of the retirement </t>
  </si>
  <si>
    <t>2D</t>
  </si>
  <si>
    <t>E01</t>
  </si>
  <si>
    <t>MARITAL</t>
  </si>
  <si>
    <t xml:space="preserve"> ------- NUMBER OF ALLOWANCES -------</t>
  </si>
  <si>
    <t>exclusion ($113) will apply to the second half payment and at this time the calculator is not programed for this calculation.  Manual</t>
  </si>
  <si>
    <t>2E</t>
  </si>
  <si>
    <t>E02</t>
  </si>
  <si>
    <t>HEAD OF HOUSEHOLD - HIGH WAGE (E)</t>
  </si>
  <si>
    <t>OVER 2</t>
  </si>
  <si>
    <t>calculations will be required, see PPM Section H for federal and state tax calculation instructions.</t>
  </si>
  <si>
    <t>2F</t>
  </si>
  <si>
    <t>E03</t>
  </si>
  <si>
    <t>2G</t>
  </si>
  <si>
    <t>E04</t>
  </si>
  <si>
    <r>
      <t>Social Security/Medicare</t>
    </r>
    <r>
      <rPr>
        <sz val="12"/>
        <rFont val="Calibri"/>
        <family val="2"/>
        <scheme val="minor"/>
      </rPr>
      <t>-Retirement Code driven (SS = Both, Med = Medicare Only, NO = Neither)</t>
    </r>
  </si>
  <si>
    <t>2H</t>
  </si>
  <si>
    <t>E05</t>
  </si>
  <si>
    <t>2I</t>
  </si>
  <si>
    <t>E06</t>
  </si>
  <si>
    <r>
      <t>Federal Marital Status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federal marital status (S=single, M=married, H=head of household).</t>
    </r>
  </si>
  <si>
    <t>2J</t>
  </si>
  <si>
    <t>E07</t>
  </si>
  <si>
    <t xml:space="preserve">Enter E in the federal marital status field to claim exemption from federal tax withholding. </t>
  </si>
  <si>
    <t>2K</t>
  </si>
  <si>
    <t>E08</t>
  </si>
  <si>
    <t>2L</t>
  </si>
  <si>
    <t>E09</t>
  </si>
  <si>
    <r>
      <t>Number of Exemptions Fed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the number of exemptions you want to compute federal tax with.</t>
    </r>
  </si>
  <si>
    <t>2M</t>
  </si>
  <si>
    <t>E10</t>
  </si>
  <si>
    <t>This field must be left blank when using STD 686 (EAR) or STD 457 (CSU PAR) effective 12/2020 or later.</t>
  </si>
  <si>
    <t>2N</t>
  </si>
  <si>
    <t>E11</t>
  </si>
  <si>
    <t>2O</t>
  </si>
  <si>
    <t>E12</t>
  </si>
  <si>
    <r>
      <t>Federal Higher Withholding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YES for higher tax withholding, or enter NO for not higher tax withholding.</t>
    </r>
  </si>
  <si>
    <t>2P</t>
  </si>
  <si>
    <t>E13</t>
  </si>
  <si>
    <t>This field must be completed when using revised STD 686 or STD 457 effective 12/2020 or later.</t>
  </si>
  <si>
    <t>2Q</t>
  </si>
  <si>
    <t>E14</t>
  </si>
  <si>
    <t>This field must be left blank when using STD 686 (EAR) or STD 457 (CSU PAR) effective before 12/2020.</t>
  </si>
  <si>
    <t>2R</t>
  </si>
  <si>
    <t>E15</t>
  </si>
  <si>
    <t>2S</t>
  </si>
  <si>
    <t>E16</t>
  </si>
  <si>
    <r>
      <t>Federal Claim Dependents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annual amount for Child Tax Credit and the credits for other dependents.</t>
    </r>
  </si>
  <si>
    <t>2T</t>
  </si>
  <si>
    <t>E17</t>
  </si>
  <si>
    <t>2U</t>
  </si>
  <si>
    <t>E18</t>
  </si>
  <si>
    <t>This field must be left blank or 0 when using STD 686 (EAR) or STD 457 (CSU PAR) effective before 12/2020.</t>
  </si>
  <si>
    <t>2V</t>
  </si>
  <si>
    <t>E19</t>
  </si>
  <si>
    <t>2W</t>
  </si>
  <si>
    <t>E20</t>
  </si>
  <si>
    <r>
      <t>Federal Other Income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dollar amount for other income for the year, do not include income from other jobs.</t>
    </r>
  </si>
  <si>
    <t>2X</t>
  </si>
  <si>
    <t>E21</t>
  </si>
  <si>
    <t>2Y</t>
  </si>
  <si>
    <t>E48</t>
  </si>
  <si>
    <t>2Z</t>
  </si>
  <si>
    <t>E50</t>
  </si>
  <si>
    <t>30</t>
  </si>
  <si>
    <t>E58</t>
  </si>
  <si>
    <r>
      <t>Federal Deductions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- Enter amount for other than the basic standard deductions.</t>
    </r>
  </si>
  <si>
    <t>31</t>
  </si>
  <si>
    <t>E59</t>
  </si>
  <si>
    <t>32</t>
  </si>
  <si>
    <t>E67</t>
  </si>
  <si>
    <t>33</t>
  </si>
  <si>
    <t>E68</t>
  </si>
  <si>
    <t>34</t>
  </si>
  <si>
    <t>E77</t>
  </si>
  <si>
    <r>
      <t>State Marital Status</t>
    </r>
    <r>
      <rPr>
        <sz val="12"/>
        <rFont val="Calibri"/>
        <family val="2"/>
        <scheme val="minor"/>
      </rPr>
      <t>-Enter any status you want to check rates on.</t>
    </r>
  </si>
  <si>
    <t>36</t>
  </si>
  <si>
    <t>E78</t>
  </si>
  <si>
    <t>37</t>
  </si>
  <si>
    <t>E79</t>
  </si>
  <si>
    <r>
      <t>Number of Exemptions State</t>
    </r>
    <r>
      <rPr>
        <sz val="12"/>
        <rFont val="Calibri"/>
        <family val="2"/>
        <scheme val="minor"/>
      </rPr>
      <t>-Enter the number of exemptions you want to compute state tax with.</t>
    </r>
  </si>
  <si>
    <t>39</t>
  </si>
  <si>
    <t>E88</t>
  </si>
  <si>
    <t>3A</t>
  </si>
  <si>
    <t>E89</t>
  </si>
  <si>
    <r>
      <t>Additional Exemptions State</t>
    </r>
    <r>
      <rPr>
        <sz val="12"/>
        <rFont val="Calibri"/>
        <family val="2"/>
        <scheme val="minor"/>
      </rPr>
      <t>-Enter the number of additional exemptions you want to compute state tax with.</t>
    </r>
  </si>
  <si>
    <t>3B</t>
  </si>
  <si>
    <t>E97</t>
  </si>
  <si>
    <t>3C</t>
  </si>
  <si>
    <t>E98</t>
  </si>
  <si>
    <r>
      <t>SDI</t>
    </r>
    <r>
      <rPr>
        <sz val="12"/>
        <rFont val="Calibri"/>
        <family val="2"/>
        <scheme val="minor"/>
      </rPr>
      <t>-Enter YES if you are covered by the SDI program, enter NO if you are not.</t>
    </r>
  </si>
  <si>
    <t>3D</t>
  </si>
  <si>
    <t>E99</t>
  </si>
  <si>
    <t>3E</t>
  </si>
  <si>
    <t>M01</t>
  </si>
  <si>
    <r>
      <t>Flex Cash Option</t>
    </r>
    <r>
      <rPr>
        <sz val="12"/>
        <rFont val="Calibri"/>
        <family val="2"/>
        <scheme val="minor"/>
      </rPr>
      <t xml:space="preserve">-Enter the amount of flex cash option that you receive.  This shows as FLEX CASH or </t>
    </r>
  </si>
  <si>
    <t>3F</t>
  </si>
  <si>
    <t>M02</t>
  </si>
  <si>
    <t>COBEN CASH on your earnings statement/direct deposit advice.</t>
  </si>
  <si>
    <t>3G</t>
  </si>
  <si>
    <t>M03</t>
  </si>
  <si>
    <t>3H</t>
  </si>
  <si>
    <t>M04</t>
  </si>
  <si>
    <r>
      <t>Total Other Flex Deductions (Pre-Tax)</t>
    </r>
    <r>
      <rPr>
        <sz val="12"/>
        <rFont val="Calibri"/>
        <family val="2"/>
        <scheme val="minor"/>
      </rPr>
      <t xml:space="preserve">-Enter the sum of all flex deductions as indicated by the  " * "  next to it </t>
    </r>
  </si>
  <si>
    <t>3J</t>
  </si>
  <si>
    <t>M05</t>
  </si>
  <si>
    <t xml:space="preserve">Deduction Examples: Health, Dental, Vision, Medical Reimbursement Account, Dependent Care Reimbursement  </t>
  </si>
  <si>
    <t>3K</t>
  </si>
  <si>
    <t>M06</t>
  </si>
  <si>
    <t>EXCEPTIONS: FLEX CASH, COBEN CASH, OPEB, *TSA, *DC-457, *457, *401K, *403B, *PERSREDPST or *STRS REDST.</t>
  </si>
  <si>
    <t>3L</t>
  </si>
  <si>
    <t>M07</t>
  </si>
  <si>
    <t>3M</t>
  </si>
  <si>
    <t>M08</t>
  </si>
  <si>
    <r>
      <t>Total A/R Deductions</t>
    </r>
    <r>
      <rPr>
        <sz val="12"/>
        <rFont val="Calibri"/>
        <family val="2"/>
        <scheme val="minor"/>
      </rPr>
      <t>-Enter the sum of all accounts receivable deductions that you wish to use in this</t>
    </r>
  </si>
  <si>
    <t>3N</t>
  </si>
  <si>
    <t>M09</t>
  </si>
  <si>
    <t>calculation.  These show as ACCT RCVBL on your earnings statement/direct deposit advice.</t>
  </si>
  <si>
    <t>3P</t>
  </si>
  <si>
    <t>M10</t>
  </si>
  <si>
    <t>NOTE: (If there is no taxable gross reflected for an A/R on your earnings statement it must be included in</t>
  </si>
  <si>
    <t>3Q</t>
  </si>
  <si>
    <t>M11</t>
  </si>
  <si>
    <t>the Total Voluntary Deductions field.  Many accounts receivable deductions are one time and not</t>
  </si>
  <si>
    <t>3R</t>
  </si>
  <si>
    <t>M12</t>
  </si>
  <si>
    <t>ongoing.  In this case you may want to exclude these from the calculations.)</t>
  </si>
  <si>
    <t>3S</t>
  </si>
  <si>
    <t>M13</t>
  </si>
  <si>
    <t>3T</t>
  </si>
  <si>
    <t>M14</t>
  </si>
  <si>
    <r>
      <t>Total Voluntary Deductions (Post-Tax)</t>
    </r>
    <r>
      <rPr>
        <sz val="12"/>
        <rFont val="Calibri"/>
        <family val="2"/>
        <scheme val="minor"/>
      </rPr>
      <t xml:space="preserve">-Enter the sum of all other deductions you have that are not covered in the </t>
    </r>
  </si>
  <si>
    <t>3U</t>
  </si>
  <si>
    <t>M15</t>
  </si>
  <si>
    <t xml:space="preserve">categories above (exluding all *). These may include things such as credit union deductions, union dues, administrative fees, </t>
  </si>
  <si>
    <t>3V</t>
  </si>
  <si>
    <t>M16</t>
  </si>
  <si>
    <t>accounts receivable deductions with no taxable gross etc…</t>
  </si>
  <si>
    <t>3W</t>
  </si>
  <si>
    <t>M17</t>
  </si>
  <si>
    <t>3X</t>
  </si>
  <si>
    <t>M18</t>
  </si>
  <si>
    <r>
      <t>Deferred Comp/TSA</t>
    </r>
    <r>
      <rPr>
        <u/>
        <sz val="12"/>
        <rFont val="Calibri"/>
        <family val="2"/>
        <scheme val="minor"/>
      </rPr>
      <t>**</t>
    </r>
    <r>
      <rPr>
        <sz val="12"/>
        <rFont val="Calibri"/>
        <family val="2"/>
        <scheme val="minor"/>
      </rPr>
      <t>-Use this field to enter any Deferred Compensation/TSA amount that you want to see calculations</t>
    </r>
  </si>
  <si>
    <t>3Y</t>
  </si>
  <si>
    <t>M19</t>
  </si>
  <si>
    <t>on.  Each column represents the withholding or amounts associated with the corresponding Deferred Compensation/TSA</t>
  </si>
  <si>
    <t>3Z</t>
  </si>
  <si>
    <t>M20</t>
  </si>
  <si>
    <t xml:space="preserve">amount at the head of the column.  (NOTE: Also use this field to enter PERS adjustments and PERS/STRS Retirement buy back shown as  </t>
  </si>
  <si>
    <t>40</t>
  </si>
  <si>
    <t>M21</t>
  </si>
  <si>
    <t xml:space="preserve">*PERS ADJ, *PERSREDPST, or *STRS REDST on your earnings statement/direct deposit advice.  </t>
  </si>
  <si>
    <t>41</t>
  </si>
  <si>
    <t>NON</t>
  </si>
  <si>
    <t>42</t>
  </si>
  <si>
    <t>43</t>
  </si>
  <si>
    <t>R02</t>
  </si>
  <si>
    <t>44</t>
  </si>
  <si>
    <t>R03</t>
  </si>
  <si>
    <t>45</t>
  </si>
  <si>
    <t>R04</t>
  </si>
  <si>
    <t>46</t>
  </si>
  <si>
    <t>R05</t>
  </si>
  <si>
    <t>47</t>
  </si>
  <si>
    <t>R06</t>
  </si>
  <si>
    <t>R07</t>
  </si>
  <si>
    <t>49</t>
  </si>
  <si>
    <t>R08</t>
  </si>
  <si>
    <t>4A</t>
  </si>
  <si>
    <t>R09</t>
  </si>
  <si>
    <t>4B</t>
  </si>
  <si>
    <t>R10</t>
  </si>
  <si>
    <t>4C</t>
  </si>
  <si>
    <t>R11</t>
  </si>
  <si>
    <t>4D</t>
  </si>
  <si>
    <t>R12</t>
  </si>
  <si>
    <t>4E</t>
  </si>
  <si>
    <t>R13</t>
  </si>
  <si>
    <t>4F</t>
  </si>
  <si>
    <t>R14</t>
  </si>
  <si>
    <t>4G</t>
  </si>
  <si>
    <t>R15</t>
  </si>
  <si>
    <t>4H</t>
  </si>
  <si>
    <t>R16</t>
  </si>
  <si>
    <t>4J</t>
  </si>
  <si>
    <t>R17</t>
  </si>
  <si>
    <t>4K</t>
  </si>
  <si>
    <t>R18</t>
  </si>
  <si>
    <t>4L</t>
  </si>
  <si>
    <t>R19</t>
  </si>
  <si>
    <t>4M</t>
  </si>
  <si>
    <t>R20</t>
  </si>
  <si>
    <t>4N</t>
  </si>
  <si>
    <t>R21</t>
  </si>
  <si>
    <t>4P</t>
  </si>
  <si>
    <t>S01</t>
  </si>
  <si>
    <t>4Q</t>
  </si>
  <si>
    <t>S02</t>
  </si>
  <si>
    <t>4R</t>
  </si>
  <si>
    <t>S03</t>
  </si>
  <si>
    <t>4S</t>
  </si>
  <si>
    <t>S04</t>
  </si>
  <si>
    <t>4T</t>
  </si>
  <si>
    <t>S05</t>
  </si>
  <si>
    <t>4U</t>
  </si>
  <si>
    <t>S06</t>
  </si>
  <si>
    <t>4V</t>
  </si>
  <si>
    <t>S07</t>
  </si>
  <si>
    <t>4W</t>
  </si>
  <si>
    <t>S08</t>
  </si>
  <si>
    <t>4X</t>
  </si>
  <si>
    <t>S09</t>
  </si>
  <si>
    <t>4Y</t>
  </si>
  <si>
    <t>S10</t>
  </si>
  <si>
    <t>4Z</t>
  </si>
  <si>
    <t>S11</t>
  </si>
  <si>
    <t>S12</t>
  </si>
  <si>
    <t>51</t>
  </si>
  <si>
    <t>S13</t>
  </si>
  <si>
    <t>52</t>
  </si>
  <si>
    <t>S14</t>
  </si>
  <si>
    <t>53</t>
  </si>
  <si>
    <t>S15</t>
  </si>
  <si>
    <t>54</t>
  </si>
  <si>
    <t>S16</t>
  </si>
  <si>
    <t>55</t>
  </si>
  <si>
    <t>S17</t>
  </si>
  <si>
    <t>56</t>
  </si>
  <si>
    <t>S18</t>
  </si>
  <si>
    <t>57</t>
  </si>
  <si>
    <t>S19</t>
  </si>
  <si>
    <t>S20</t>
  </si>
  <si>
    <t>5A</t>
  </si>
  <si>
    <t>S21</t>
  </si>
  <si>
    <t>5B</t>
  </si>
  <si>
    <t>5C</t>
  </si>
  <si>
    <t>5D</t>
  </si>
  <si>
    <t>5E</t>
  </si>
  <si>
    <t>5F</t>
  </si>
  <si>
    <t>5G</t>
  </si>
  <si>
    <t>5H</t>
  </si>
  <si>
    <t>5J</t>
  </si>
  <si>
    <t>5K</t>
  </si>
  <si>
    <t>5L</t>
  </si>
  <si>
    <t>5M</t>
  </si>
  <si>
    <t>5N</t>
  </si>
  <si>
    <t>5R</t>
  </si>
  <si>
    <t>5S</t>
  </si>
  <si>
    <t>5V</t>
  </si>
  <si>
    <t>5W</t>
  </si>
  <si>
    <t>5X</t>
  </si>
  <si>
    <t>5Y</t>
  </si>
  <si>
    <t>61</t>
  </si>
  <si>
    <t>62</t>
  </si>
  <si>
    <t>63</t>
  </si>
  <si>
    <t>64</t>
  </si>
  <si>
    <t>6J</t>
  </si>
  <si>
    <t>6K</t>
  </si>
  <si>
    <t>6L</t>
  </si>
  <si>
    <t>6M</t>
  </si>
  <si>
    <t>6P</t>
  </si>
  <si>
    <t>6R</t>
  </si>
  <si>
    <t>6S</t>
  </si>
  <si>
    <t>6T</t>
  </si>
  <si>
    <t>6V</t>
  </si>
  <si>
    <t>6W</t>
  </si>
  <si>
    <t>6X</t>
  </si>
  <si>
    <t>6Y</t>
  </si>
  <si>
    <t>6Z</t>
  </si>
  <si>
    <t>7A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</si>
  <si>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</si>
  <si>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</si>
  <si>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</si>
  <si>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</si>
  <si>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</si>
  <si>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</si>
  <si>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</si>
  <si>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</si>
  <si>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</si>
  <si>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</si>
  <si>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</si>
  <si>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82</t>
  </si>
  <si>
    <t>83</t>
  </si>
  <si>
    <t>86</t>
  </si>
  <si>
    <t>87</t>
  </si>
  <si>
    <t>91</t>
  </si>
  <si>
    <t>92</t>
  </si>
  <si>
    <t>93</t>
  </si>
  <si>
    <t>94</t>
  </si>
  <si>
    <t>95</t>
  </si>
  <si>
    <t>96</t>
  </si>
  <si>
    <t>9A</t>
  </si>
  <si>
    <t>9B</t>
  </si>
  <si>
    <t>9C</t>
  </si>
  <si>
    <t>9D</t>
  </si>
  <si>
    <t>9E</t>
  </si>
  <si>
    <t>9F</t>
  </si>
  <si>
    <t>9G</t>
  </si>
  <si>
    <t>9H</t>
  </si>
  <si>
    <t>9J</t>
  </si>
  <si>
    <t>9K</t>
  </si>
  <si>
    <t>9L</t>
  </si>
  <si>
    <t>9M</t>
  </si>
  <si>
    <t>9N</t>
  </si>
  <si>
    <t>9P</t>
  </si>
  <si>
    <t>9R</t>
  </si>
  <si>
    <t>9S</t>
  </si>
  <si>
    <t>9T</t>
  </si>
  <si>
    <t>9V</t>
  </si>
  <si>
    <t>9W</t>
  </si>
  <si>
    <t>9X</t>
  </si>
  <si>
    <t>9Y</t>
  </si>
  <si>
    <t>AA</t>
  </si>
  <si>
    <t>AB</t>
  </si>
  <si>
    <t>AC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</si>
  <si>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</si>
  <si>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</si>
  <si>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</si>
  <si>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</si>
  <si>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</si>
  <si>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</si>
  <si>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</si>
  <si>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</si>
  <si>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</si>
  <si>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</si>
  <si>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</si>
  <si>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</si>
  <si>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</si>
  <si>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</si>
  <si>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</si>
  <si>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</si>
  <si>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</si>
  <si>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</si>
  <si>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</si>
  <si>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</si>
  <si>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</si>
  <si>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</si>
  <si>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B1</t>
  </si>
  <si>
    <t>B3</t>
  </si>
  <si>
    <t>B4</t>
  </si>
  <si>
    <t>B5</t>
  </si>
  <si>
    <t>B6</t>
  </si>
  <si>
    <t>B9</t>
  </si>
  <si>
    <t>C3</t>
  </si>
  <si>
    <t>C4</t>
  </si>
  <si>
    <t>C9</t>
  </si>
  <si>
    <t>CB</t>
  </si>
  <si>
    <t>CC</t>
  </si>
  <si>
    <t>CD</t>
  </si>
  <si>
    <t>CE</t>
  </si>
  <si>
    <t>CF</t>
  </si>
  <si>
    <t>CG</t>
  </si>
  <si>
    <t>CH</t>
  </si>
  <si>
    <t>CJ</t>
  </si>
  <si>
    <t>CK</t>
  </si>
  <si>
    <t>CL</t>
  </si>
  <si>
    <t>CP</t>
  </si>
  <si>
    <t>CQ</t>
  </si>
  <si>
    <t>CR</t>
  </si>
  <si>
    <t>CS</t>
  </si>
  <si>
    <t>CT</t>
  </si>
  <si>
    <t>CV</t>
  </si>
  <si>
    <t>CW</t>
  </si>
  <si>
    <t>CX</t>
  </si>
  <si>
    <t>CY</t>
  </si>
  <si>
    <t>CZ</t>
  </si>
  <si>
    <t>D4</t>
  </si>
  <si>
    <t>D5</t>
  </si>
  <si>
    <t>D7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</si>
  <si>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</si>
  <si>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</si>
  <si>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</si>
  <si>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</si>
  <si>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</si>
  <si>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</si>
  <si>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</si>
  <si>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</si>
  <si>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</si>
  <si>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</si>
  <si>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</si>
  <si>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</si>
  <si>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</si>
  <si>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DO</t>
  </si>
  <si>
    <t>DP</t>
  </si>
  <si>
    <t>DQ</t>
  </si>
  <si>
    <t>DR</t>
  </si>
  <si>
    <t>DS</t>
  </si>
  <si>
    <t>DV</t>
  </si>
  <si>
    <t>DW</t>
  </si>
  <si>
    <t>E0</t>
  </si>
  <si>
    <t>E6</t>
  </si>
  <si>
    <t>EA</t>
  </si>
  <si>
    <t>EB</t>
  </si>
  <si>
    <t>EC</t>
  </si>
  <si>
    <t>ED</t>
  </si>
  <si>
    <t>EE</t>
  </si>
  <si>
    <t>EF</t>
  </si>
  <si>
    <t>EJ</t>
  </si>
  <si>
    <t>EK</t>
  </si>
  <si>
    <t>EM</t>
  </si>
  <si>
    <t>ES</t>
  </si>
  <si>
    <t>ET</t>
  </si>
  <si>
    <t>EV</t>
  </si>
  <si>
    <t>EY</t>
  </si>
  <si>
    <t>F0</t>
  </si>
  <si>
    <t>F1</t>
  </si>
  <si>
    <t>F2</t>
  </si>
  <si>
    <t>F4</t>
  </si>
  <si>
    <t>F5</t>
  </si>
  <si>
    <t>F7</t>
  </si>
  <si>
    <t>F8</t>
  </si>
  <si>
    <t>F9</t>
  </si>
  <si>
    <t>FA</t>
  </si>
  <si>
    <t>FB</t>
  </si>
  <si>
    <t>FD</t>
  </si>
  <si>
    <t>FF</t>
  </si>
  <si>
    <t>FG</t>
  </si>
  <si>
    <t>FH</t>
  </si>
  <si>
    <t>FL</t>
  </si>
  <si>
    <t>FP</t>
  </si>
  <si>
    <t>FR</t>
  </si>
  <si>
    <t>FS</t>
  </si>
  <si>
    <t>FT</t>
  </si>
  <si>
    <t>FV</t>
  </si>
  <si>
    <t>FW</t>
  </si>
  <si>
    <t>FX</t>
  </si>
  <si>
    <t>FY</t>
  </si>
  <si>
    <t>G5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</si>
  <si>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</si>
  <si>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</si>
  <si>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</si>
  <si>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</si>
  <si>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</si>
  <si>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</si>
  <si>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</si>
  <si>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</si>
  <si>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</si>
  <si>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GN</t>
  </si>
  <si>
    <t>GR</t>
  </si>
  <si>
    <t>GS</t>
  </si>
  <si>
    <t>GV</t>
  </si>
  <si>
    <t>GX</t>
  </si>
  <si>
    <t>H1</t>
  </si>
  <si>
    <t>H2</t>
  </si>
  <si>
    <t>HJ</t>
  </si>
  <si>
    <t>HL</t>
  </si>
  <si>
    <t>HP</t>
  </si>
  <si>
    <t>HR</t>
  </si>
  <si>
    <t>HS</t>
  </si>
  <si>
    <t>HT</t>
  </si>
  <si>
    <t>HX</t>
  </si>
  <si>
    <t>HY</t>
  </si>
  <si>
    <t>J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</si>
  <si>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</si>
  <si>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</si>
  <si>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</si>
  <si>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</si>
  <si>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</si>
  <si>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</si>
  <si>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</si>
  <si>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</si>
  <si>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</si>
  <si>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</si>
  <si>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</si>
  <si>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</si>
  <si>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</si>
  <si>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L</t>
  </si>
  <si>
    <t>LO</t>
  </si>
  <si>
    <t>NA</t>
  </si>
  <si>
    <t>NM</t>
  </si>
  <si>
    <t>P2</t>
  </si>
  <si>
    <t>P5</t>
  </si>
  <si>
    <t>P6</t>
  </si>
  <si>
    <t>P7</t>
  </si>
  <si>
    <t>P8</t>
  </si>
  <si>
    <t>PA</t>
  </si>
  <si>
    <t>PB</t>
  </si>
  <si>
    <t>PC</t>
  </si>
  <si>
    <t>PD</t>
  </si>
  <si>
    <t>PE</t>
  </si>
  <si>
    <t>PF</t>
  </si>
  <si>
    <t>PG</t>
  </si>
  <si>
    <t>PH</t>
  </si>
  <si>
    <t>PJ</t>
  </si>
  <si>
    <t>PL</t>
  </si>
  <si>
    <t>PM</t>
  </si>
  <si>
    <t>PN</t>
  </si>
  <si>
    <t>PP</t>
  </si>
  <si>
    <t>PR</t>
  </si>
  <si>
    <t>PS</t>
  </si>
  <si>
    <t>PT</t>
  </si>
  <si>
    <t>PV</t>
  </si>
  <si>
    <t>PW</t>
  </si>
  <si>
    <t>PX</t>
  </si>
  <si>
    <t>PY</t>
  </si>
  <si>
    <t>RA</t>
  </si>
  <si>
    <t>RB</t>
  </si>
  <si>
    <t>RC</t>
  </si>
  <si>
    <t>RD</t>
  </si>
  <si>
    <t>RE</t>
  </si>
  <si>
    <t>RF</t>
  </si>
  <si>
    <t>RG</t>
  </si>
  <si>
    <t>RH</t>
  </si>
  <si>
    <t>SA</t>
  </si>
  <si>
    <t>SB</t>
  </si>
  <si>
    <t>SC</t>
  </si>
  <si>
    <t>SD</t>
  </si>
  <si>
    <t>SE</t>
  </si>
  <si>
    <t>SF</t>
  </si>
  <si>
    <t>SG</t>
  </si>
  <si>
    <t>SH</t>
  </si>
  <si>
    <t>SI</t>
  </si>
  <si>
    <t>SJ</t>
  </si>
  <si>
    <t>SK</t>
  </si>
  <si>
    <t>SL</t>
  </si>
  <si>
    <t>T</t>
  </si>
  <si>
    <t>TA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</si>
  <si>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</si>
  <si>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</si>
  <si>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</si>
  <si>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</si>
  <si>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</si>
  <si>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</si>
  <si>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</si>
  <si>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</si>
  <si>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</si>
  <si>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</si>
  <si>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</si>
  <si>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TP</t>
  </si>
  <si>
    <t>TR</t>
  </si>
  <si>
    <t>TS</t>
  </si>
  <si>
    <t>TX</t>
  </si>
  <si>
    <t>TY</t>
  </si>
  <si>
    <t>TZ</t>
  </si>
  <si>
    <t>Rev. 1/26/2026</t>
  </si>
  <si>
    <t>CALIFORNIA STATE CONTROLLER'S OFFICE - PAYCHECK CALCULATOR - 2025 (eff. 10/1)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</si>
</sst>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\ ;\(#,##0.00\)"/>
    <numFmt numFmtId="165" formatCode="#,##0\ ;\(#,##0\)"/>
    <numFmt numFmtId="166" formatCode="#,##0.0000\ ;\(#,##0.0000\)"/>
    <numFmt numFmtId="167" formatCode="0.00000"/>
    <numFmt numFmtId="168" formatCode="&quot;$&quot;#,##0.00"/>
    <numFmt numFmtId="169" formatCode="0.000"/>
  </numFmts>
  <fonts count="19" x14ac:knownFonts="1">
    <font>
      <sz val="12"/>
      <name val="Tms Rmn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20"/>
      <name val="Calibri"/>
      <family val="2"/>
      <scheme val="minor"/>
    </font>
    <font>
      <b/>
      <sz val="12"/>
      <color indexed="20"/>
      <name val="Calibri"/>
      <family val="2"/>
      <scheme val="minor"/>
    </font>
    <font>
      <sz val="12"/>
      <color indexed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ms Rmn"/>
    </font>
    <font>
      <i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80008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/>
      <diagonal/>
    </border>
    <border>
      <left/>
      <right style="medium">
        <color indexed="21"/>
      </right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/>
      <bottom/>
      <diagonal/>
    </border>
    <border>
      <left/>
      <right style="medium">
        <color indexed="21"/>
      </right>
      <top/>
      <bottom/>
      <diagonal/>
    </border>
    <border>
      <left/>
      <right/>
      <top/>
      <bottom style="medium">
        <color indexed="21"/>
      </bottom>
      <diagonal/>
    </border>
    <border>
      <left style="medium">
        <color indexed="21"/>
      </left>
      <right style="medium">
        <color indexed="21"/>
      </right>
      <top/>
      <bottom style="medium">
        <color indexed="21"/>
      </bottom>
      <diagonal/>
    </border>
    <border>
      <left/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21"/>
      </left>
      <right style="medium">
        <color indexed="21"/>
      </right>
      <top/>
      <bottom style="thin">
        <color indexed="64"/>
      </bottom>
      <diagonal/>
    </border>
    <border>
      <left/>
      <right style="medium">
        <color indexed="2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21"/>
      </right>
      <top style="thin">
        <color indexed="64"/>
      </top>
      <bottom style="thin">
        <color indexed="64"/>
      </bottom>
      <diagonal/>
    </border>
    <border>
      <left style="medium">
        <color indexed="21"/>
      </left>
      <right style="medium">
        <color indexed="2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85">
    <xf numFmtId="0" fontId="0" fillId="0" borderId="0" xfId="0"/>
    <xf numFmtId="10" fontId="2" fillId="0" borderId="13" xfId="1" applyNumberFormat="1" applyFont="1" applyFill="1" applyBorder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Continuous"/>
    </xf>
    <xf numFmtId="166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0" xfId="0" applyNumberFormat="1" applyFont="1"/>
    <xf numFmtId="0" fontId="3" fillId="0" borderId="4" xfId="0" applyFont="1" applyBorder="1" applyAlignment="1" applyProtection="1">
      <alignment horizontal="right"/>
      <protection locked="0"/>
    </xf>
    <xf numFmtId="49" fontId="3" fillId="0" borderId="4" xfId="0" applyNumberFormat="1" applyFont="1" applyBorder="1" applyAlignment="1" applyProtection="1">
      <alignment horizontal="right"/>
      <protection locked="0"/>
    </xf>
    <xf numFmtId="0" fontId="2" fillId="0" borderId="23" xfId="0" applyFont="1" applyBorder="1" applyAlignment="1">
      <alignment horizontal="right"/>
    </xf>
    <xf numFmtId="0" fontId="2" fillId="0" borderId="18" xfId="0" applyFont="1" applyBorder="1"/>
    <xf numFmtId="0" fontId="2" fillId="0" borderId="19" xfId="0" applyFont="1" applyBorder="1"/>
    <xf numFmtId="0" fontId="10" fillId="0" borderId="4" xfId="0" applyFont="1" applyBorder="1" applyAlignment="1">
      <alignment horizontal="right"/>
    </xf>
    <xf numFmtId="165" fontId="2" fillId="0" borderId="0" xfId="0" applyNumberFormat="1" applyFont="1"/>
    <xf numFmtId="7" fontId="2" fillId="0" borderId="0" xfId="0" applyNumberFormat="1" applyFont="1"/>
    <xf numFmtId="0" fontId="2" fillId="0" borderId="13" xfId="0" applyFont="1" applyBorder="1"/>
    <xf numFmtId="165" fontId="2" fillId="0" borderId="16" xfId="0" applyNumberFormat="1" applyFont="1" applyBorder="1"/>
    <xf numFmtId="167" fontId="2" fillId="0" borderId="12" xfId="0" applyNumberFormat="1" applyFont="1" applyBorder="1"/>
    <xf numFmtId="164" fontId="2" fillId="0" borderId="17" xfId="0" applyNumberFormat="1" applyFont="1" applyBorder="1"/>
    <xf numFmtId="7" fontId="3" fillId="0" borderId="4" xfId="0" applyNumberFormat="1" applyFont="1" applyBorder="1" applyAlignment="1" applyProtection="1">
      <alignment horizontal="right"/>
      <protection locked="0"/>
    </xf>
    <xf numFmtId="165" fontId="2" fillId="0" borderId="18" xfId="0" applyNumberFormat="1" applyFont="1" applyBorder="1"/>
    <xf numFmtId="167" fontId="2" fillId="0" borderId="0" xfId="0" applyNumberFormat="1" applyFont="1"/>
    <xf numFmtId="164" fontId="2" fillId="0" borderId="19" xfId="0" applyNumberFormat="1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/>
    </xf>
    <xf numFmtId="7" fontId="4" fillId="0" borderId="7" xfId="0" applyNumberFormat="1" applyFont="1" applyBorder="1" applyProtection="1">
      <protection locked="0"/>
    </xf>
    <xf numFmtId="7" fontId="1" fillId="0" borderId="8" xfId="0" applyNumberFormat="1" applyFont="1" applyBorder="1" applyProtection="1">
      <protection locked="0"/>
    </xf>
    <xf numFmtId="7" fontId="1" fillId="0" borderId="9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7" fontId="5" fillId="0" borderId="10" xfId="0" applyNumberFormat="1" applyFont="1" applyBorder="1"/>
    <xf numFmtId="7" fontId="2" fillId="0" borderId="10" xfId="0" applyNumberFormat="1" applyFont="1" applyBorder="1"/>
    <xf numFmtId="165" fontId="2" fillId="0" borderId="20" xfId="0" applyNumberFormat="1" applyFont="1" applyBorder="1"/>
    <xf numFmtId="167" fontId="2" fillId="0" borderId="13" xfId="0" applyNumberFormat="1" applyFont="1" applyBorder="1"/>
    <xf numFmtId="164" fontId="2" fillId="0" borderId="21" xfId="0" applyNumberFormat="1" applyFont="1" applyBorder="1"/>
    <xf numFmtId="7" fontId="2" fillId="0" borderId="11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25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2" fillId="0" borderId="28" xfId="0" applyFont="1" applyBorder="1" applyAlignment="1">
      <alignment horizontal="center"/>
    </xf>
    <xf numFmtId="0" fontId="2" fillId="0" borderId="19" xfId="0" applyFont="1" applyBorder="1" applyAlignment="1">
      <alignment horizontal="centerContinuous"/>
    </xf>
    <xf numFmtId="0" fontId="2" fillId="0" borderId="2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20" xfId="0" applyFont="1" applyBorder="1"/>
    <xf numFmtId="0" fontId="2" fillId="0" borderId="21" xfId="0" applyFont="1" applyBorder="1"/>
    <xf numFmtId="7" fontId="2" fillId="0" borderId="13" xfId="0" applyNumberFormat="1" applyFont="1" applyBorder="1"/>
    <xf numFmtId="7" fontId="10" fillId="0" borderId="0" xfId="0" applyNumberFormat="1" applyFont="1"/>
    <xf numFmtId="7" fontId="2" fillId="3" borderId="10" xfId="0" applyNumberFormat="1" applyFont="1" applyFill="1" applyBorder="1"/>
    <xf numFmtId="0" fontId="2" fillId="2" borderId="12" xfId="0" applyFont="1" applyFill="1" applyBorder="1"/>
    <xf numFmtId="7" fontId="2" fillId="0" borderId="0" xfId="1" applyNumberFormat="1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2" xfId="0" applyFont="1" applyBorder="1"/>
    <xf numFmtId="7" fontId="1" fillId="0" borderId="13" xfId="0" applyNumberFormat="1" applyFont="1" applyBorder="1"/>
    <xf numFmtId="7" fontId="2" fillId="0" borderId="12" xfId="0" applyNumberFormat="1" applyFont="1" applyBorder="1" applyAlignment="1">
      <alignment horizontal="right"/>
    </xf>
    <xf numFmtId="10" fontId="2" fillId="0" borderId="31" xfId="1" applyNumberFormat="1" applyFont="1" applyFill="1" applyBorder="1" applyAlignment="1">
      <alignment horizontal="right" vertical="center"/>
    </xf>
    <xf numFmtId="7" fontId="1" fillId="0" borderId="13" xfId="0" applyNumberFormat="1" applyFont="1" applyBorder="1" applyAlignment="1">
      <alignment horizontal="right"/>
    </xf>
    <xf numFmtId="0" fontId="2" fillId="0" borderId="33" xfId="0" applyFont="1" applyBorder="1"/>
    <xf numFmtId="0" fontId="2" fillId="0" borderId="34" xfId="0" applyFont="1" applyBorder="1"/>
    <xf numFmtId="168" fontId="3" fillId="0" borderId="4" xfId="0" applyNumberFormat="1" applyFont="1" applyBorder="1" applyAlignment="1" applyProtection="1">
      <alignment horizontal="right"/>
      <protection locked="0"/>
    </xf>
    <xf numFmtId="0" fontId="12" fillId="0" borderId="0" xfId="0" applyFont="1"/>
    <xf numFmtId="0" fontId="13" fillId="0" borderId="0" xfId="0" applyFont="1"/>
    <xf numFmtId="165" fontId="13" fillId="0" borderId="16" xfId="0" applyNumberFormat="1" applyFont="1" applyBorder="1"/>
    <xf numFmtId="164" fontId="2" fillId="0" borderId="13" xfId="0" applyNumberFormat="1" applyFont="1" applyBorder="1"/>
    <xf numFmtId="1" fontId="2" fillId="0" borderId="0" xfId="0" applyNumberFormat="1" applyFont="1"/>
    <xf numFmtId="165" fontId="2" fillId="0" borderId="35" xfId="0" applyNumberFormat="1" applyFont="1" applyBorder="1" applyAlignment="1">
      <alignment horizontal="center"/>
    </xf>
    <xf numFmtId="165" fontId="2" fillId="0" borderId="36" xfId="0" applyNumberFormat="1" applyFont="1" applyBorder="1" applyAlignment="1">
      <alignment horizontal="center"/>
    </xf>
    <xf numFmtId="165" fontId="2" fillId="0" borderId="37" xfId="0" applyNumberFormat="1" applyFont="1" applyBorder="1" applyAlignment="1">
      <alignment horizontal="center"/>
    </xf>
    <xf numFmtId="165" fontId="2" fillId="0" borderId="35" xfId="0" applyNumberFormat="1" applyFont="1" applyBorder="1"/>
    <xf numFmtId="165" fontId="2" fillId="0" borderId="36" xfId="0" applyNumberFormat="1" applyFont="1" applyBorder="1"/>
    <xf numFmtId="165" fontId="2" fillId="0" borderId="37" xfId="0" applyNumberFormat="1" applyFont="1" applyBorder="1"/>
    <xf numFmtId="0" fontId="2" fillId="0" borderId="18" xfId="0" applyFont="1" applyBorder="1" applyAlignment="1">
      <alignment horizontal="center"/>
    </xf>
    <xf numFmtId="0" fontId="2" fillId="2" borderId="16" xfId="0" applyFont="1" applyFill="1" applyBorder="1"/>
    <xf numFmtId="0" fontId="2" fillId="2" borderId="17" xfId="0" applyFont="1" applyFill="1" applyBorder="1"/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2" borderId="16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0" fontId="2" fillId="2" borderId="17" xfId="0" applyFont="1" applyFill="1" applyBorder="1" applyAlignment="1">
      <alignment horizontal="centerContinuous"/>
    </xf>
    <xf numFmtId="0" fontId="2" fillId="0" borderId="36" xfId="0" applyFont="1" applyBorder="1"/>
    <xf numFmtId="164" fontId="2" fillId="0" borderId="37" xfId="0" applyNumberFormat="1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2" fillId="0" borderId="18" xfId="0" applyNumberFormat="1" applyFont="1" applyBorder="1"/>
    <xf numFmtId="0" fontId="2" fillId="2" borderId="13" xfId="0" applyFont="1" applyFill="1" applyBorder="1" applyAlignment="1">
      <alignment horizontal="centerContinuous"/>
    </xf>
    <xf numFmtId="166" fontId="2" fillId="2" borderId="13" xfId="0" applyNumberFormat="1" applyFont="1" applyFill="1" applyBorder="1" applyAlignment="1">
      <alignment horizontal="centerContinuous"/>
    </xf>
    <xf numFmtId="44" fontId="2" fillId="0" borderId="0" xfId="2" applyFont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4" fontId="2" fillId="0" borderId="38" xfId="2" applyFont="1" applyBorder="1"/>
    <xf numFmtId="44" fontId="2" fillId="0" borderId="39" xfId="2" applyFont="1" applyBorder="1"/>
    <xf numFmtId="44" fontId="2" fillId="0" borderId="40" xfId="2" applyFont="1" applyBorder="1"/>
    <xf numFmtId="44" fontId="2" fillId="0" borderId="41" xfId="2" applyFont="1" applyBorder="1"/>
    <xf numFmtId="44" fontId="2" fillId="0" borderId="42" xfId="2" applyFont="1" applyBorder="1"/>
    <xf numFmtId="44" fontId="2" fillId="0" borderId="43" xfId="2" applyFont="1" applyBorder="1"/>
    <xf numFmtId="9" fontId="2" fillId="0" borderId="38" xfId="1" applyFont="1" applyBorder="1"/>
    <xf numFmtId="9" fontId="2" fillId="0" borderId="39" xfId="1" applyFont="1" applyBorder="1"/>
    <xf numFmtId="9" fontId="2" fillId="0" borderId="44" xfId="1" applyFont="1" applyBorder="1"/>
    <xf numFmtId="164" fontId="2" fillId="0" borderId="45" xfId="0" applyNumberFormat="1" applyFont="1" applyBorder="1"/>
    <xf numFmtId="164" fontId="2" fillId="0" borderId="46" xfId="0" applyNumberFormat="1" applyFont="1" applyBorder="1"/>
    <xf numFmtId="164" fontId="2" fillId="0" borderId="47" xfId="0" applyNumberFormat="1" applyFont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4" fillId="0" borderId="2" xfId="0" applyFont="1" applyBorder="1" applyAlignment="1" applyProtection="1">
      <alignment horizontal="center"/>
      <protection locked="0"/>
    </xf>
    <xf numFmtId="0" fontId="12" fillId="0" borderId="1" xfId="0" applyFont="1" applyBorder="1"/>
    <xf numFmtId="165" fontId="2" fillId="0" borderId="19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19" xfId="0" applyNumberFormat="1" applyFont="1" applyBorder="1" applyAlignment="1">
      <alignment horizontal="centerContinuous"/>
    </xf>
    <xf numFmtId="0" fontId="2" fillId="0" borderId="0" xfId="0" quotePrefix="1" applyFont="1" applyAlignment="1">
      <alignment horizontal="centerContinuous"/>
    </xf>
    <xf numFmtId="165" fontId="2" fillId="0" borderId="21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" borderId="12" xfId="0" applyNumberFormat="1" applyFont="1" applyFill="1" applyBorder="1" applyAlignment="1">
      <alignment horizontal="centerContinuous"/>
    </xf>
    <xf numFmtId="165" fontId="2" fillId="0" borderId="13" xfId="0" applyNumberFormat="1" applyFont="1" applyBorder="1" applyAlignment="1">
      <alignment horizontal="centerContinuous"/>
    </xf>
    <xf numFmtId="0" fontId="10" fillId="0" borderId="0" xfId="0" applyFont="1" applyAlignment="1">
      <alignment horizontal="left"/>
    </xf>
    <xf numFmtId="10" fontId="2" fillId="0" borderId="37" xfId="1" applyNumberFormat="1" applyFont="1" applyFill="1" applyBorder="1"/>
    <xf numFmtId="0" fontId="2" fillId="0" borderId="24" xfId="0" applyFont="1" applyBorder="1" applyAlignment="1">
      <alignment horizontal="right"/>
    </xf>
    <xf numFmtId="0" fontId="3" fillId="0" borderId="14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3" fillId="0" borderId="49" xfId="0" applyFont="1" applyBorder="1" applyAlignment="1" applyProtection="1">
      <alignment horizontal="right"/>
      <protection locked="0"/>
    </xf>
    <xf numFmtId="0" fontId="2" fillId="0" borderId="48" xfId="0" applyFont="1" applyBorder="1" applyAlignment="1">
      <alignment horizontal="center"/>
    </xf>
    <xf numFmtId="39" fontId="2" fillId="0" borderId="0" xfId="0" applyNumberFormat="1" applyFont="1"/>
    <xf numFmtId="39" fontId="2" fillId="0" borderId="13" xfId="0" applyNumberFormat="1" applyFont="1" applyBorder="1"/>
    <xf numFmtId="169" fontId="16" fillId="0" borderId="19" xfId="0" applyNumberFormat="1" applyFont="1" applyBorder="1" applyAlignment="1">
      <alignment horizontal="center"/>
    </xf>
    <xf numFmtId="169" fontId="15" fillId="0" borderId="19" xfId="0" applyNumberFormat="1" applyFont="1" applyBorder="1" applyAlignment="1">
      <alignment horizontal="center" vertical="center"/>
    </xf>
    <xf numFmtId="169" fontId="15" fillId="0" borderId="21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69" fontId="15" fillId="4" borderId="1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/>
    </xf>
    <xf numFmtId="10" fontId="18" fillId="0" borderId="12" xfId="1" applyNumberFormat="1" applyFont="1" applyFill="1" applyBorder="1"/>
    <xf numFmtId="10" fontId="18" fillId="0" borderId="0" xfId="1" applyNumberFormat="1" applyFont="1" applyFill="1" applyBorder="1"/>
    <xf numFmtId="10" fontId="18" fillId="0" borderId="13" xfId="1" applyNumberFormat="1" applyFont="1" applyFill="1" applyBorder="1"/>
    <xf numFmtId="49" fontId="18" fillId="0" borderId="16" xfId="0" applyNumberFormat="1" applyFont="1" applyBorder="1"/>
    <xf numFmtId="0" fontId="18" fillId="0" borderId="12" xfId="0" applyFont="1" applyBorder="1"/>
    <xf numFmtId="0" fontId="18" fillId="0" borderId="17" xfId="0" applyFont="1" applyBorder="1"/>
    <xf numFmtId="49" fontId="18" fillId="0" borderId="18" xfId="0" applyNumberFormat="1" applyFont="1" applyBorder="1"/>
    <xf numFmtId="0" fontId="18" fillId="0" borderId="0" xfId="0" applyFont="1"/>
    <xf numFmtId="0" fontId="18" fillId="0" borderId="19" xfId="0" applyFont="1" applyBorder="1"/>
    <xf numFmtId="0" fontId="16" fillId="0" borderId="18" xfId="0" applyFont="1" applyBorder="1"/>
    <xf numFmtId="49" fontId="18" fillId="0" borderId="20" xfId="0" applyNumberFormat="1" applyFont="1" applyBorder="1"/>
    <xf numFmtId="0" fontId="18" fillId="0" borderId="13" xfId="0" applyFont="1" applyBorder="1"/>
    <xf numFmtId="0" fontId="18" fillId="0" borderId="21" xfId="0" applyFont="1" applyBorder="1"/>
    <xf numFmtId="49" fontId="15" fillId="0" borderId="16" xfId="0" applyNumberFormat="1" applyFont="1" applyFill="1" applyBorder="1" applyAlignment="1">
      <alignment horizontal="center" vertical="center"/>
    </xf>
    <xf numFmtId="169" fontId="15" fillId="0" borderId="17" xfId="0" applyNumberFormat="1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horizontal="center" vertical="center"/>
    </xf>
    <xf numFmtId="169" fontId="16" fillId="0" borderId="19" xfId="0" applyNumberFormat="1" applyFont="1" applyFill="1" applyBorder="1" applyAlignment="1">
      <alignment horizontal="center"/>
    </xf>
    <xf numFmtId="169" fontId="15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/>
    </xf>
    <xf numFmtId="169" fontId="15" fillId="0" borderId="21" xfId="0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ill>
        <patternFill>
          <bgColor rgb="FFFF7F7F"/>
        </patternFill>
      </fill>
    </dxf>
  </dxfs>
  <tableStyles count="0" defaultTableStyle="TableStyleMedium9" defaultPivotStyle="PivotStyleLight16"/>
  <colors>
    <mruColors>
      <color rgb="FF800080"/>
      <color rgb="FFF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G474"/>
  <sheetViews>
    <sheetView showGridLines="0" tabSelected="1" zoomScaleNormal="100" workbookViewId="0">
      <selection activeCell="B2" sqref="B2"/>
    </sheetView>
  </sheetViews>
  <sheetFormatPr defaultColWidth="11" defaultRowHeight="15.95" customHeight="1" x14ac:dyDescent="0.25"/>
  <cols>
    <col min="1" max="1" width="26" style="4" customWidth="1"/>
    <col min="2" max="2" width="12.25" style="4" customWidth="1"/>
    <col min="3" max="7" width="13.75" style="4" customWidth="1"/>
    <col min="8" max="8" width="8" style="4" customWidth="1"/>
    <col min="9" max="9" width="15.375" style="4" customWidth="1"/>
    <col min="10" max="10" width="12.375" style="4" customWidth="1"/>
    <col min="11" max="11" width="3.875" style="4" customWidth="1"/>
    <col min="12" max="12" width="8" style="4" customWidth="1"/>
    <col min="13" max="13" width="21.375" style="4" bestFit="1" customWidth="1"/>
    <col min="14" max="19" width="13.625" style="4" customWidth="1"/>
    <col min="20" max="20" width="5" style="18" customWidth="1"/>
    <col min="21" max="21" width="5" style="4" customWidth="1"/>
    <col min="22" max="23" width="6.625" style="4" customWidth="1"/>
    <col min="24" max="24" width="8" style="4" customWidth="1"/>
    <col min="25" max="25" width="4.875" style="4" customWidth="1"/>
    <col min="26" max="26" width="8.375" style="4" customWidth="1"/>
    <col min="27" max="27" width="9.375" style="4" customWidth="1"/>
    <col min="28" max="28" width="7.75" style="4" customWidth="1"/>
    <col min="29" max="29" width="4.375" style="4" customWidth="1"/>
    <col min="30" max="30" width="9.75" style="4" customWidth="1"/>
    <col min="31" max="31" width="7.75" style="4" customWidth="1"/>
    <col min="32" max="32" width="8" style="4" customWidth="1"/>
    <col min="33" max="33" width="11.875" style="4" customWidth="1"/>
    <col min="34" max="34" width="12.875" style="4" customWidth="1"/>
    <col min="35" max="35" width="11" style="4" customWidth="1"/>
    <col min="36" max="36" width="9" style="4" customWidth="1"/>
    <col min="37" max="38" width="5.625" style="4" customWidth="1"/>
    <col min="39" max="40" width="9.875" style="4" customWidth="1"/>
    <col min="41" max="41" width="11.625" style="4" customWidth="1"/>
    <col min="42" max="42" width="11.375" style="4" customWidth="1"/>
    <col min="43" max="43" width="8.375" style="4" customWidth="1"/>
    <col min="44" max="44" width="5.375" style="4" customWidth="1"/>
    <col min="45" max="47" width="9.875" style="4" customWidth="1"/>
    <col min="48" max="48" width="10.5" style="4" customWidth="1"/>
    <col min="49" max="49" width="8.375" style="4" customWidth="1"/>
    <col min="50" max="50" width="5.375" style="4" customWidth="1"/>
    <col min="51" max="51" width="10.875" style="4" customWidth="1"/>
    <col min="52" max="53" width="9.875" style="4" customWidth="1"/>
    <col min="54" max="54" width="10.5" style="4" customWidth="1"/>
    <col min="55" max="55" width="8.375" style="4" customWidth="1"/>
    <col min="56" max="57" width="5.625" style="4" customWidth="1"/>
    <col min="58" max="58" width="9.875" style="7" customWidth="1"/>
    <col min="59" max="59" width="40.375" style="4" customWidth="1"/>
    <col min="60" max="261" width="9.875" style="4" customWidth="1"/>
    <col min="262" max="16384" width="11" style="4"/>
  </cols>
  <sheetData>
    <row r="1" spans="1:59" ht="19.5" thickBot="1" x14ac:dyDescent="0.35">
      <c r="A1" s="2" t="s">
        <v>835</v>
      </c>
      <c r="B1" s="3"/>
      <c r="C1" s="3"/>
      <c r="D1" s="3"/>
      <c r="E1" s="3"/>
      <c r="F1" s="3"/>
      <c r="G1" s="3"/>
      <c r="N1" s="3"/>
      <c r="O1" s="3"/>
      <c r="P1" s="5"/>
      <c r="BF1" s="8" t="s">
        <v>0</v>
      </c>
      <c r="BG1" s="8"/>
    </row>
    <row r="2" spans="1:59" ht="15.95" customHeight="1" x14ac:dyDescent="0.25">
      <c r="A2" s="11" t="s">
        <v>1</v>
      </c>
      <c r="B2" s="136" t="s">
        <v>2</v>
      </c>
      <c r="C2" s="11" t="s">
        <v>3</v>
      </c>
      <c r="D2" s="137"/>
      <c r="E2" s="12"/>
      <c r="F2" s="12"/>
      <c r="G2" s="134" t="str">
        <f>IF(BF2="FAIL","INVALID","")</f>
        <v/>
      </c>
      <c r="N2" s="5"/>
      <c r="O2" s="9"/>
      <c r="P2" s="10"/>
      <c r="AG2" s="8" t="s">
        <v>4</v>
      </c>
      <c r="AH2" s="8"/>
      <c r="AI2" s="8"/>
      <c r="AJ2" s="146"/>
      <c r="AL2" s="17"/>
      <c r="AM2" s="8" t="s">
        <v>5</v>
      </c>
      <c r="AN2" s="8"/>
      <c r="AO2" s="8"/>
      <c r="AP2" s="8"/>
      <c r="AQ2" s="8"/>
      <c r="AS2" s="8" t="s">
        <v>6</v>
      </c>
      <c r="AT2" s="8"/>
      <c r="AU2" s="8"/>
      <c r="AV2" s="8"/>
      <c r="AW2" s="8"/>
      <c r="AY2" s="8" t="s">
        <v>7</v>
      </c>
      <c r="AZ2" s="8"/>
      <c r="BA2" s="8"/>
      <c r="BB2" s="8"/>
      <c r="BC2" s="8"/>
      <c r="BE2" s="17"/>
      <c r="BF2" s="7" t="str">
        <f>IF(OR(STATE="CA",STATE="IL",STATE="NY"),STATE,"FAIL")</f>
        <v>CA</v>
      </c>
      <c r="BG2" s="4" t="s">
        <v>8</v>
      </c>
    </row>
    <row r="3" spans="1:59" ht="15.95" customHeight="1" thickBot="1" x14ac:dyDescent="0.3">
      <c r="A3" s="5" t="s">
        <v>9</v>
      </c>
      <c r="B3" s="78">
        <v>5000</v>
      </c>
      <c r="C3" s="5"/>
      <c r="G3" s="135" t="s">
        <v>10</v>
      </c>
      <c r="I3" s="64" t="s">
        <v>11</v>
      </c>
      <c r="J3" s="65"/>
      <c r="K3" s="66"/>
      <c r="M3" s="106" t="s">
        <v>12</v>
      </c>
      <c r="N3" s="106"/>
      <c r="O3" s="106"/>
      <c r="P3" s="107"/>
      <c r="Q3" s="107"/>
      <c r="R3" s="106"/>
      <c r="S3" s="106"/>
      <c r="V3" s="95" t="s">
        <v>13</v>
      </c>
      <c r="W3" s="148">
        <v>6.2E-2</v>
      </c>
      <c r="Y3" s="96" t="s">
        <v>14</v>
      </c>
      <c r="Z3" s="97"/>
      <c r="AA3" s="97"/>
      <c r="AB3" s="98"/>
      <c r="AD3" s="96" t="s">
        <v>15</v>
      </c>
      <c r="AE3" s="98"/>
      <c r="AG3" s="3"/>
      <c r="AH3" s="3"/>
      <c r="AI3" s="3"/>
      <c r="AL3" s="17"/>
      <c r="AM3" s="3"/>
      <c r="AN3" s="3"/>
      <c r="AO3" s="3"/>
      <c r="AP3" s="3"/>
      <c r="AQ3" s="3"/>
      <c r="AS3" s="3"/>
      <c r="AT3" s="3"/>
      <c r="AU3" s="3"/>
      <c r="AV3" s="3"/>
      <c r="AW3" s="3"/>
      <c r="AY3" s="3"/>
      <c r="AZ3" s="3"/>
      <c r="BA3" s="3"/>
      <c r="BB3" s="3"/>
      <c r="BC3" s="3"/>
      <c r="BE3" s="17"/>
    </row>
    <row r="4" spans="1:59" ht="15.95" customHeight="1" thickTop="1" thickBot="1" x14ac:dyDescent="0.3">
      <c r="A4" s="5" t="s">
        <v>16</v>
      </c>
      <c r="B4" s="14" t="s">
        <v>17</v>
      </c>
      <c r="C4" s="5" t="s">
        <v>18</v>
      </c>
      <c r="G4" s="135" t="str">
        <f>IF(BF4="FAIL","INVALID","")</f>
        <v/>
      </c>
      <c r="I4" s="17" t="s">
        <v>19</v>
      </c>
      <c r="J4" s="6" t="str">
        <f>RET_CODE</f>
        <v>2A</v>
      </c>
      <c r="K4" s="18"/>
      <c r="M4" s="5" t="s">
        <v>20</v>
      </c>
      <c r="N4" s="83">
        <f>IF(PAY_FREQ="S",24,IF(PAY_FREQ="B",26,12))</f>
        <v>12</v>
      </c>
      <c r="O4" s="80" t="s">
        <v>21</v>
      </c>
      <c r="P4" s="9"/>
      <c r="Q4" s="9"/>
      <c r="V4" s="95" t="s">
        <v>22</v>
      </c>
      <c r="W4" s="148">
        <v>1.4500000000000001E-2</v>
      </c>
      <c r="Y4" s="101" t="s">
        <v>23</v>
      </c>
      <c r="Z4" s="16" t="s">
        <v>24</v>
      </c>
      <c r="AA4" s="16" t="s">
        <v>25</v>
      </c>
      <c r="AB4" s="103" t="s">
        <v>26</v>
      </c>
      <c r="AD4" s="101" t="s">
        <v>27</v>
      </c>
      <c r="AE4" s="149" t="s">
        <v>24</v>
      </c>
      <c r="AG4" s="96" t="s">
        <v>28</v>
      </c>
      <c r="AH4" s="97"/>
      <c r="AI4" s="145"/>
      <c r="AJ4" s="98"/>
      <c r="AL4" s="17"/>
      <c r="AM4" s="95" t="s">
        <v>29</v>
      </c>
      <c r="AN4" s="99"/>
      <c r="AO4" s="99"/>
      <c r="AP4" s="100">
        <v>1000</v>
      </c>
      <c r="AS4" s="95" t="s">
        <v>29</v>
      </c>
      <c r="AT4" s="99"/>
      <c r="AU4" s="99"/>
      <c r="AV4" s="100">
        <v>1000</v>
      </c>
      <c r="AY4" s="95" t="s">
        <v>29</v>
      </c>
      <c r="AZ4" s="99"/>
      <c r="BA4" s="99"/>
      <c r="BB4" s="100">
        <v>1000</v>
      </c>
      <c r="BE4" s="17"/>
      <c r="BF4" s="7" t="str">
        <f>IF(OR(PAY_FREQ="M",PAY_FREQ="S",PAY_FREQ="B"),PAY_FREQ,"FAIL")</f>
        <v>M</v>
      </c>
      <c r="BG4" s="4" t="s">
        <v>30</v>
      </c>
    </row>
    <row r="5" spans="1:59" ht="15.95" customHeight="1" thickTop="1" x14ac:dyDescent="0.25">
      <c r="A5" s="5" t="s">
        <v>19</v>
      </c>
      <c r="B5" s="15" t="s">
        <v>31</v>
      </c>
      <c r="C5" s="5" t="s">
        <v>32</v>
      </c>
      <c r="G5" s="135" t="str">
        <f t="shared" ref="G5:G7" si="0">IF(BF5="FAIL","INVALID","")</f>
        <v/>
      </c>
      <c r="I5" s="17" t="s">
        <v>33</v>
      </c>
      <c r="J5" s="21">
        <f>VLOOKUP(RET_CODE,RET_CODE_TABLE,3,FALSE)</f>
        <v>317</v>
      </c>
      <c r="K5" s="18"/>
      <c r="M5" s="4" t="s">
        <v>34</v>
      </c>
      <c r="N5" s="108">
        <f ca="1">VLOOKUP(N11,INDIRECT(N8),N9,FALSE) * N10</f>
        <v>12900</v>
      </c>
      <c r="P5" s="9"/>
      <c r="Q5" s="9"/>
      <c r="V5" s="95" t="s">
        <v>35</v>
      </c>
      <c r="W5" s="148">
        <v>1.2E-2</v>
      </c>
      <c r="Y5" s="168" t="s">
        <v>36</v>
      </c>
      <c r="Z5" s="165">
        <v>0.06</v>
      </c>
      <c r="AA5" s="169">
        <v>317</v>
      </c>
      <c r="AB5" s="170" t="s">
        <v>37</v>
      </c>
      <c r="AD5" s="178" t="s">
        <v>38</v>
      </c>
      <c r="AE5" s="179">
        <v>0</v>
      </c>
      <c r="AG5" s="90" t="s">
        <v>39</v>
      </c>
      <c r="AH5" s="7" t="s">
        <v>40</v>
      </c>
      <c r="AI5" s="141" t="s">
        <v>41</v>
      </c>
      <c r="AJ5" s="140"/>
      <c r="AL5" s="17"/>
      <c r="BE5" s="17"/>
      <c r="BF5" s="7" t="str">
        <f>IFERROR(VLOOKUP(RET_CODE,RET_CODE_TABLE,1,FALSE),"FAIL")</f>
        <v>2A</v>
      </c>
      <c r="BG5" s="4" t="s">
        <v>42</v>
      </c>
    </row>
    <row r="6" spans="1:59" ht="15.95" customHeight="1" thickBot="1" x14ac:dyDescent="0.3">
      <c r="A6" s="5" t="s">
        <v>43</v>
      </c>
      <c r="B6" s="15" t="s">
        <v>44</v>
      </c>
      <c r="C6" s="5" t="s">
        <v>45</v>
      </c>
      <c r="G6" s="135" t="str">
        <f t="shared" si="0"/>
        <v/>
      </c>
      <c r="I6" s="57" t="s">
        <v>46</v>
      </c>
      <c r="J6" s="1">
        <f>VLOOKUP(RET_CODE,RET_CODE_TABLE,2,FALSE)</f>
        <v>0.11</v>
      </c>
      <c r="K6" s="58"/>
      <c r="P6" s="9"/>
      <c r="Q6" s="9"/>
      <c r="Y6" s="171" t="s">
        <v>38</v>
      </c>
      <c r="Z6" s="166">
        <v>3.7499999999999999E-2</v>
      </c>
      <c r="AA6" s="172">
        <v>0</v>
      </c>
      <c r="AB6" s="173" t="s">
        <v>37</v>
      </c>
      <c r="AD6" s="180" t="s">
        <v>47</v>
      </c>
      <c r="AE6" s="181">
        <v>0</v>
      </c>
      <c r="AG6" s="101" t="s">
        <v>48</v>
      </c>
      <c r="AH6" s="102" t="s">
        <v>49</v>
      </c>
      <c r="AI6" s="102" t="s">
        <v>50</v>
      </c>
      <c r="AJ6" s="144" t="s">
        <v>51</v>
      </c>
      <c r="AK6" s="13"/>
      <c r="AL6" s="105"/>
      <c r="BD6" s="13"/>
      <c r="BE6" s="105"/>
      <c r="BF6" s="7" t="str">
        <f>IFERROR(VLOOKUP(OPEB_CBID,OPEB_TABLE,1,FALSE),"FAIL")</f>
        <v>R01</v>
      </c>
      <c r="BG6" s="4" t="s">
        <v>52</v>
      </c>
    </row>
    <row r="7" spans="1:59" ht="15.95" customHeight="1" thickTop="1" thickBot="1" x14ac:dyDescent="0.3">
      <c r="A7" s="5" t="s">
        <v>53</v>
      </c>
      <c r="B7" s="14"/>
      <c r="C7" s="5" t="s">
        <v>54</v>
      </c>
      <c r="G7" s="135" t="str">
        <f t="shared" si="0"/>
        <v/>
      </c>
      <c r="M7" s="64" t="s">
        <v>4</v>
      </c>
      <c r="N7" s="65"/>
      <c r="O7" s="66"/>
      <c r="Q7" s="13"/>
      <c r="Y7" s="171" t="s">
        <v>47</v>
      </c>
      <c r="Z7" s="166">
        <v>0</v>
      </c>
      <c r="AA7" s="172">
        <v>0</v>
      </c>
      <c r="AB7" s="173" t="s">
        <v>37</v>
      </c>
      <c r="AD7" s="180" t="s">
        <v>55</v>
      </c>
      <c r="AE7" s="182">
        <v>0</v>
      </c>
      <c r="AG7" s="90" t="s">
        <v>17</v>
      </c>
      <c r="AH7" s="139">
        <v>4300</v>
      </c>
      <c r="AI7" s="139">
        <v>0</v>
      </c>
      <c r="AJ7" s="138">
        <v>12900</v>
      </c>
      <c r="AL7" s="17"/>
      <c r="AM7" s="3" t="s">
        <v>56</v>
      </c>
      <c r="AN7" s="3"/>
      <c r="AO7" s="3"/>
      <c r="AP7" s="3"/>
      <c r="AS7" s="5" t="s">
        <v>57</v>
      </c>
      <c r="AY7" s="5" t="s">
        <v>57</v>
      </c>
      <c r="BE7" s="17"/>
      <c r="BF7" s="7" t="str">
        <f>IF(PAY_FREQ="S",IF(OR(SEMI_HALF=1, SEMI_HALF=2),"PASS","FAIL"),"N/A")</f>
        <v>N/A</v>
      </c>
      <c r="BG7" s="4" t="s">
        <v>58</v>
      </c>
    </row>
    <row r="8" spans="1:59" ht="15.95" customHeight="1" thickTop="1" thickBot="1" x14ac:dyDescent="0.3">
      <c r="A8" s="5" t="s">
        <v>59</v>
      </c>
      <c r="B8" s="19" t="str">
        <f>VLOOKUP(RET_CODE,RET_CODE_TABLE,4,FALSE)</f>
        <v>NO</v>
      </c>
      <c r="C8" s="147" t="s">
        <v>60</v>
      </c>
      <c r="G8" s="135"/>
      <c r="I8" s="64" t="s">
        <v>61</v>
      </c>
      <c r="J8" s="65"/>
      <c r="K8" s="66"/>
      <c r="M8" s="67" t="s">
        <v>62</v>
      </c>
      <c r="N8" s="93" t="s">
        <v>63</v>
      </c>
      <c r="O8" s="68"/>
      <c r="Q8" s="13"/>
      <c r="Y8" s="171" t="s">
        <v>55</v>
      </c>
      <c r="Z8" s="166">
        <v>3.7499999999999999E-2</v>
      </c>
      <c r="AA8" s="172">
        <v>0</v>
      </c>
      <c r="AB8" s="173" t="s">
        <v>13</v>
      </c>
      <c r="AD8" s="180" t="s">
        <v>64</v>
      </c>
      <c r="AE8" s="182">
        <v>0</v>
      </c>
      <c r="AG8" s="90" t="s">
        <v>65</v>
      </c>
      <c r="AH8" s="139">
        <v>4300</v>
      </c>
      <c r="AI8" s="139">
        <v>0</v>
      </c>
      <c r="AJ8" s="138">
        <v>8600</v>
      </c>
      <c r="AL8" s="17"/>
      <c r="AN8" s="3" t="s">
        <v>66</v>
      </c>
      <c r="AO8" s="3"/>
      <c r="AP8" s="7" t="s">
        <v>67</v>
      </c>
      <c r="AT8" s="3" t="s">
        <v>66</v>
      </c>
      <c r="AU8" s="3"/>
      <c r="AV8" s="7" t="s">
        <v>67</v>
      </c>
      <c r="AZ8" s="3" t="s">
        <v>66</v>
      </c>
      <c r="BA8" s="3"/>
      <c r="BB8" s="7" t="s">
        <v>67</v>
      </c>
      <c r="BE8" s="17"/>
    </row>
    <row r="9" spans="1:59" ht="15.95" customHeight="1" thickTop="1" x14ac:dyDescent="0.25">
      <c r="A9" s="5" t="s">
        <v>68</v>
      </c>
      <c r="B9" s="14" t="s">
        <v>17</v>
      </c>
      <c r="C9" s="5" t="s">
        <v>69</v>
      </c>
      <c r="G9" s="135" t="str">
        <f>IF(BF9="FAIL","INVALID","")</f>
        <v/>
      </c>
      <c r="I9" s="17" t="s">
        <v>70</v>
      </c>
      <c r="J9" s="21">
        <f>RET_EXCLUSION</f>
        <v>317</v>
      </c>
      <c r="K9" s="18"/>
      <c r="M9" s="17" t="s">
        <v>71</v>
      </c>
      <c r="N9" s="4">
        <f>IF(FedHW="",2,IF(FedHW="YES",3,IF(FedHW="NO",4,"ERROR")))</f>
        <v>4</v>
      </c>
      <c r="O9" s="18"/>
      <c r="Q9" s="13"/>
      <c r="Y9" s="171" t="s">
        <v>64</v>
      </c>
      <c r="Z9" s="166">
        <v>3.7499999999999999E-2</v>
      </c>
      <c r="AA9" s="172">
        <v>0</v>
      </c>
      <c r="AB9" s="173" t="s">
        <v>13</v>
      </c>
      <c r="AD9" s="180" t="s">
        <v>72</v>
      </c>
      <c r="AE9" s="181">
        <v>0</v>
      </c>
      <c r="AG9" s="104" t="s">
        <v>73</v>
      </c>
      <c r="AH9" s="143">
        <v>4300</v>
      </c>
      <c r="AI9" s="143">
        <v>0</v>
      </c>
      <c r="AJ9" s="142">
        <v>8600</v>
      </c>
      <c r="AL9" s="17"/>
      <c r="AM9" s="7" t="s">
        <v>74</v>
      </c>
      <c r="AN9" s="7" t="s">
        <v>75</v>
      </c>
      <c r="AO9" s="7" t="s">
        <v>76</v>
      </c>
      <c r="AP9" s="7" t="s">
        <v>77</v>
      </c>
      <c r="AS9" s="7" t="s">
        <v>74</v>
      </c>
      <c r="AT9" s="7" t="s">
        <v>75</v>
      </c>
      <c r="AU9" s="7" t="s">
        <v>76</v>
      </c>
      <c r="AV9" s="7" t="s">
        <v>77</v>
      </c>
      <c r="AY9" s="6" t="s">
        <v>74</v>
      </c>
      <c r="AZ9" s="6" t="s">
        <v>75</v>
      </c>
      <c r="BA9" s="5" t="s">
        <v>76</v>
      </c>
      <c r="BB9" s="7" t="s">
        <v>77</v>
      </c>
      <c r="BE9" s="17"/>
      <c r="BF9" s="7" t="str">
        <f>IF(OR(FED_MARITAL_STATUS="S",FED_MARITAL_STATUS="M",FED_MARITAL_STATUS="H",FED_MARITAL_STATUS="E"),FED_MARITAL_STATUS,"FAIL")</f>
        <v>M</v>
      </c>
      <c r="BG9" s="4" t="s">
        <v>78</v>
      </c>
    </row>
    <row r="10" spans="1:59" ht="15.95" customHeight="1" x14ac:dyDescent="0.25">
      <c r="A10" s="152" t="s">
        <v>79</v>
      </c>
      <c r="B10" s="153"/>
      <c r="C10" s="152" t="s">
        <v>80</v>
      </c>
      <c r="D10" s="99"/>
      <c r="E10" s="99"/>
      <c r="F10" s="99"/>
      <c r="G10" s="154"/>
      <c r="I10" s="17"/>
      <c r="K10" s="18"/>
      <c r="M10" s="57" t="s">
        <v>81</v>
      </c>
      <c r="N10" s="22">
        <f>IF(FedHW="",FED_EXEMPT_QTY,1)</f>
        <v>1</v>
      </c>
      <c r="O10" s="58"/>
      <c r="Q10" s="13"/>
      <c r="T10" s="55"/>
      <c r="U10" s="7"/>
      <c r="Y10" s="171" t="s">
        <v>72</v>
      </c>
      <c r="Z10" s="166">
        <v>9.5000000000000001E-2</v>
      </c>
      <c r="AA10" s="172">
        <v>513</v>
      </c>
      <c r="AB10" s="173" t="s">
        <v>13</v>
      </c>
      <c r="AD10" s="180" t="s">
        <v>82</v>
      </c>
      <c r="AE10" s="182">
        <v>0.04</v>
      </c>
      <c r="AL10" s="17"/>
      <c r="AM10" s="84">
        <v>18368</v>
      </c>
      <c r="AN10" s="85">
        <v>18368</v>
      </c>
      <c r="AO10" s="85">
        <v>36736</v>
      </c>
      <c r="AP10" s="86">
        <v>36736</v>
      </c>
      <c r="AS10" s="84">
        <v>0</v>
      </c>
      <c r="AT10" s="85">
        <v>0</v>
      </c>
      <c r="AU10" s="85">
        <v>0</v>
      </c>
      <c r="AV10" s="86">
        <v>0</v>
      </c>
      <c r="AY10" s="87">
        <v>0</v>
      </c>
      <c r="AZ10" s="88">
        <v>0</v>
      </c>
      <c r="BA10" s="88">
        <v>0</v>
      </c>
      <c r="BB10" s="89">
        <v>0</v>
      </c>
      <c r="BE10" s="17"/>
    </row>
    <row r="11" spans="1:59" ht="15.95" customHeight="1" x14ac:dyDescent="0.25">
      <c r="A11" s="5" t="s">
        <v>83</v>
      </c>
      <c r="B11" s="14" t="s">
        <v>37</v>
      </c>
      <c r="C11" s="5" t="s">
        <v>84</v>
      </c>
      <c r="G11" s="135" t="str">
        <f>IF(BF11="FAIL","INVALID","")</f>
        <v/>
      </c>
      <c r="I11" s="17" t="s">
        <v>85</v>
      </c>
      <c r="J11" s="21">
        <f>IF(SEMI_HALF=1,J12,J13)</f>
        <v>0</v>
      </c>
      <c r="K11" s="18"/>
      <c r="M11" s="17" t="s">
        <v>86</v>
      </c>
      <c r="N11" s="4" t="str">
        <f>FED_MARITAL_STATUS</f>
        <v>M</v>
      </c>
      <c r="O11" s="18"/>
      <c r="Q11" s="13"/>
      <c r="Y11" s="171" t="s">
        <v>82</v>
      </c>
      <c r="Z11" s="166">
        <v>0.01</v>
      </c>
      <c r="AA11" s="172">
        <v>317</v>
      </c>
      <c r="AB11" s="173" t="s">
        <v>22</v>
      </c>
      <c r="AD11" s="180" t="s">
        <v>87</v>
      </c>
      <c r="AE11" s="182">
        <v>0</v>
      </c>
      <c r="AG11" s="96" t="s">
        <v>88</v>
      </c>
      <c r="AH11" s="97"/>
      <c r="AI11" s="98"/>
      <c r="AL11" s="17"/>
      <c r="BE11" s="17"/>
      <c r="BF11" s="7" t="str">
        <f>IF(FED_EXEMPT_QTY="",IF(OR(FedHW="YES",FedHW="NO"),FedHW,"FAIL"),IF(FedHW="",FedHW,"FAIL"))</f>
        <v>NO</v>
      </c>
      <c r="BG11" s="4" t="s">
        <v>89</v>
      </c>
    </row>
    <row r="12" spans="1:59" ht="15.95" customHeight="1" thickBot="1" x14ac:dyDescent="0.3">
      <c r="A12" s="5" t="s">
        <v>90</v>
      </c>
      <c r="B12" s="14">
        <v>0</v>
      </c>
      <c r="C12" s="5" t="s">
        <v>91</v>
      </c>
      <c r="G12" s="135" t="str">
        <f>IF(BF12="FAIL","INVALID","")</f>
        <v/>
      </c>
      <c r="I12" s="17" t="s">
        <v>92</v>
      </c>
      <c r="J12" s="60">
        <f>J9</f>
        <v>317</v>
      </c>
      <c r="K12" s="18"/>
      <c r="M12" s="17" t="s">
        <v>93</v>
      </c>
      <c r="N12" s="4" t="str">
        <f>IF(FedHW="YES","HW","")</f>
        <v/>
      </c>
      <c r="O12" s="29"/>
      <c r="Q12" s="13"/>
      <c r="Y12" s="171" t="s">
        <v>87</v>
      </c>
      <c r="Z12" s="166">
        <v>0.125</v>
      </c>
      <c r="AA12" s="172">
        <v>513</v>
      </c>
      <c r="AB12" s="173" t="s">
        <v>13</v>
      </c>
      <c r="AD12" s="180" t="s">
        <v>94</v>
      </c>
      <c r="AE12" s="182">
        <v>0</v>
      </c>
      <c r="AG12" s="101" t="s">
        <v>95</v>
      </c>
      <c r="AH12" s="102" t="s">
        <v>96</v>
      </c>
      <c r="AI12" s="103" t="s">
        <v>97</v>
      </c>
      <c r="AL12" s="17"/>
      <c r="AM12" s="3" t="s">
        <v>28</v>
      </c>
      <c r="AN12" s="3"/>
      <c r="AO12" s="3"/>
      <c r="AP12" s="3"/>
      <c r="AS12" s="5" t="s">
        <v>98</v>
      </c>
      <c r="AY12" s="5" t="s">
        <v>98</v>
      </c>
      <c r="BE12" s="17"/>
      <c r="BF12" s="7">
        <f>IF(FED_EXEMPT_QTY="",Fed_Claim_Dpnts,IF(OR(Fed_Claim_Dpnts=0,Fed_Claim_Dpnts=""),Fed_Claim_Dpnts,"FAIL"))</f>
        <v>0</v>
      </c>
      <c r="BG12" s="4" t="s">
        <v>99</v>
      </c>
    </row>
    <row r="13" spans="1:59" ht="15.95" customHeight="1" thickTop="1" x14ac:dyDescent="0.25">
      <c r="A13" s="5" t="s">
        <v>100</v>
      </c>
      <c r="B13" s="14">
        <v>0</v>
      </c>
      <c r="C13" s="5" t="s">
        <v>91</v>
      </c>
      <c r="G13" s="135" t="str">
        <f>IF(BF13="FAIL","INVALID","")</f>
        <v/>
      </c>
      <c r="I13" s="17" t="s">
        <v>101</v>
      </c>
      <c r="J13" s="60">
        <f>0</f>
        <v>0</v>
      </c>
      <c r="K13" s="18"/>
      <c r="M13" s="57" t="s">
        <v>102</v>
      </c>
      <c r="N13" s="22" t="str">
        <f>"FED_TAX_TBL_" &amp; N11 &amp; N12</f>
        <v>FED_TAX_TBL_M</v>
      </c>
      <c r="O13" s="58"/>
      <c r="Q13" s="13"/>
      <c r="U13" s="13"/>
      <c r="Y13" s="171" t="s">
        <v>94</v>
      </c>
      <c r="Z13" s="166">
        <v>0.05</v>
      </c>
      <c r="AA13" s="172">
        <v>513</v>
      </c>
      <c r="AB13" s="173" t="s">
        <v>13</v>
      </c>
      <c r="AD13" s="180" t="s">
        <v>103</v>
      </c>
      <c r="AE13" s="182">
        <v>0</v>
      </c>
      <c r="AG13" s="27">
        <v>-999999</v>
      </c>
      <c r="AH13" s="13">
        <v>0</v>
      </c>
      <c r="AI13" s="29">
        <v>0</v>
      </c>
      <c r="AL13" s="17"/>
      <c r="AN13" s="3" t="s">
        <v>66</v>
      </c>
      <c r="AO13" s="3"/>
      <c r="AP13" s="7" t="s">
        <v>67</v>
      </c>
      <c r="AT13" s="3" t="s">
        <v>66</v>
      </c>
      <c r="AU13" s="3"/>
      <c r="AV13" s="5" t="s">
        <v>67</v>
      </c>
      <c r="AZ13" s="3" t="s">
        <v>66</v>
      </c>
      <c r="BA13" s="3"/>
      <c r="BB13" s="7" t="s">
        <v>67</v>
      </c>
      <c r="BE13" s="17"/>
      <c r="BF13" s="7">
        <f>IF(FED_EXEMPT_QTY="",Fed_Oth_Inc,IF(OR(Fed_Oth_Inc=0,Fed_Oth_Inc=""),Fed_Oth_Inc,"FAIL"))</f>
        <v>0</v>
      </c>
      <c r="BG13" s="4" t="s">
        <v>104</v>
      </c>
    </row>
    <row r="14" spans="1:59" ht="15.95" customHeight="1" x14ac:dyDescent="0.25">
      <c r="A14" s="94" t="s">
        <v>105</v>
      </c>
      <c r="B14" s="150">
        <v>0</v>
      </c>
      <c r="C14" s="94" t="s">
        <v>91</v>
      </c>
      <c r="D14" s="22"/>
      <c r="E14" s="22"/>
      <c r="F14" s="22"/>
      <c r="G14" s="151" t="str">
        <f>IF(BF14="FAIL","INVALID","")</f>
        <v/>
      </c>
      <c r="I14" s="17"/>
      <c r="K14" s="18"/>
      <c r="Q14" s="13"/>
      <c r="Y14" s="171" t="s">
        <v>103</v>
      </c>
      <c r="Z14" s="166">
        <v>0.08</v>
      </c>
      <c r="AA14" s="172">
        <v>513</v>
      </c>
      <c r="AB14" s="173" t="s">
        <v>13</v>
      </c>
      <c r="AD14" s="164" t="s">
        <v>106</v>
      </c>
      <c r="AE14" s="162">
        <v>0</v>
      </c>
      <c r="AG14" s="27">
        <v>6400</v>
      </c>
      <c r="AH14" s="13">
        <v>0.1</v>
      </c>
      <c r="AI14" s="29">
        <v>0</v>
      </c>
      <c r="AL14" s="17"/>
      <c r="AM14" s="7" t="s">
        <v>74</v>
      </c>
      <c r="AN14" s="7" t="s">
        <v>75</v>
      </c>
      <c r="AO14" s="7" t="s">
        <v>76</v>
      </c>
      <c r="AP14" s="7" t="s">
        <v>77</v>
      </c>
      <c r="AS14" s="6" t="s">
        <v>74</v>
      </c>
      <c r="AT14" s="6" t="s">
        <v>75</v>
      </c>
      <c r="AU14" s="5" t="s">
        <v>76</v>
      </c>
      <c r="AV14" s="5" t="s">
        <v>77</v>
      </c>
      <c r="AY14" s="6" t="s">
        <v>74</v>
      </c>
      <c r="AZ14" s="6" t="s">
        <v>75</v>
      </c>
      <c r="BA14" s="5" t="s">
        <v>76</v>
      </c>
      <c r="BB14" s="7" t="s">
        <v>77</v>
      </c>
      <c r="BE14" s="17"/>
      <c r="BF14" s="7">
        <f>IF(FED_EXEMPT_QTY="",Fed_Deds,IF(OR(Fed_Deds=0,Fed_Deds=""),Fed_Deds,"FAIL"))</f>
        <v>0</v>
      </c>
      <c r="BG14" s="4" t="s">
        <v>107</v>
      </c>
    </row>
    <row r="15" spans="1:59" ht="15.95" customHeight="1" x14ac:dyDescent="0.25">
      <c r="A15" s="5" t="s">
        <v>108</v>
      </c>
      <c r="B15" s="14" t="s">
        <v>17</v>
      </c>
      <c r="C15" s="5" t="s">
        <v>109</v>
      </c>
      <c r="E15" s="6" t="s">
        <v>10</v>
      </c>
      <c r="F15" s="5" t="s">
        <v>10</v>
      </c>
      <c r="G15" s="135" t="str">
        <f>IF(BF15="FAIL","INVALID","")</f>
        <v/>
      </c>
      <c r="I15" s="57" t="s">
        <v>110</v>
      </c>
      <c r="J15" s="59">
        <f>ROUND(RET_EXCLUSION*12/26,2)</f>
        <v>146.31</v>
      </c>
      <c r="K15" s="58"/>
      <c r="P15" s="79"/>
      <c r="Q15" s="13"/>
      <c r="Y15" s="171" t="s">
        <v>111</v>
      </c>
      <c r="Z15" s="166">
        <v>8.5000000000000006E-2</v>
      </c>
      <c r="AA15" s="172">
        <v>513</v>
      </c>
      <c r="AB15" s="173" t="s">
        <v>13</v>
      </c>
      <c r="AD15" s="180" t="s">
        <v>112</v>
      </c>
      <c r="AE15" s="182">
        <v>0</v>
      </c>
      <c r="AG15" s="27">
        <v>18325</v>
      </c>
      <c r="AH15" s="13">
        <v>0.12</v>
      </c>
      <c r="AI15" s="29">
        <v>1192.5</v>
      </c>
      <c r="AL15" s="17"/>
      <c r="AM15" s="84">
        <v>5540</v>
      </c>
      <c r="AN15" s="85">
        <v>5540</v>
      </c>
      <c r="AO15" s="85">
        <v>11080</v>
      </c>
      <c r="AP15" s="86">
        <v>11080</v>
      </c>
      <c r="AS15" s="87">
        <v>2850</v>
      </c>
      <c r="AT15" s="88">
        <v>2850</v>
      </c>
      <c r="AU15" s="88">
        <v>2850</v>
      </c>
      <c r="AV15" s="89">
        <v>2850</v>
      </c>
      <c r="AY15" s="87">
        <v>7400</v>
      </c>
      <c r="AZ15" s="88">
        <v>7950</v>
      </c>
      <c r="BA15" s="88">
        <v>7950</v>
      </c>
      <c r="BB15" s="89">
        <v>7950</v>
      </c>
      <c r="BE15" s="17"/>
      <c r="BF15" s="7" t="str">
        <f>IF(OR(STATE_MARITAL_STATUS="S",STATE_MARITAL_STATUS="M",STATE_MARITAL_STATUS="H"),STATE_MARITAL_STATUS,"FAIL")</f>
        <v>M</v>
      </c>
      <c r="BG15" s="4" t="s">
        <v>113</v>
      </c>
    </row>
    <row r="16" spans="1:59" ht="15.95" customHeight="1" x14ac:dyDescent="0.25">
      <c r="A16" s="5" t="s">
        <v>114</v>
      </c>
      <c r="B16" s="14">
        <v>0</v>
      </c>
      <c r="C16" s="5" t="s">
        <v>115</v>
      </c>
      <c r="E16" s="6" t="s">
        <v>10</v>
      </c>
      <c r="F16" s="5" t="s">
        <v>10</v>
      </c>
      <c r="G16" s="135"/>
      <c r="N16" s="109">
        <v>1</v>
      </c>
      <c r="O16" s="110">
        <v>2</v>
      </c>
      <c r="P16" s="110">
        <v>3</v>
      </c>
      <c r="Q16" s="110">
        <v>4</v>
      </c>
      <c r="R16" s="110">
        <v>5</v>
      </c>
      <c r="S16" s="111">
        <v>6</v>
      </c>
      <c r="Y16" s="171" t="s">
        <v>116</v>
      </c>
      <c r="Z16" s="166">
        <v>8.5000000000000006E-2</v>
      </c>
      <c r="AA16" s="172">
        <v>513</v>
      </c>
      <c r="AB16" s="173" t="s">
        <v>13</v>
      </c>
      <c r="AD16" s="180" t="s">
        <v>117</v>
      </c>
      <c r="AE16" s="181">
        <v>0</v>
      </c>
      <c r="AG16" s="27">
        <v>54875</v>
      </c>
      <c r="AH16" s="13">
        <v>0.22</v>
      </c>
      <c r="AI16" s="29">
        <v>5578.5</v>
      </c>
      <c r="AL16" s="17"/>
      <c r="AS16"/>
      <c r="AT16"/>
      <c r="AU16"/>
      <c r="AV16"/>
      <c r="AY16"/>
      <c r="AZ16"/>
      <c r="BA16"/>
      <c r="BB16"/>
      <c r="BE16" s="17"/>
    </row>
    <row r="17" spans="1:59" ht="15.95" customHeight="1" thickBot="1" x14ac:dyDescent="0.3">
      <c r="A17" s="5" t="s">
        <v>118</v>
      </c>
      <c r="B17" s="14">
        <v>0</v>
      </c>
      <c r="C17" s="5" t="s">
        <v>115</v>
      </c>
      <c r="E17" s="6" t="s">
        <v>10</v>
      </c>
      <c r="F17" s="5" t="s">
        <v>10</v>
      </c>
      <c r="G17" s="135"/>
      <c r="I17" s="64" t="s">
        <v>119</v>
      </c>
      <c r="J17" s="65"/>
      <c r="K17" s="66"/>
      <c r="M17" s="4" t="s">
        <v>120</v>
      </c>
      <c r="N17" s="112">
        <f>(GROSS-Total_AR_Ded-RET_WH+FLEX_CASH-Total_Flex-OPEB_WH-DEF_COMP1)</f>
        <v>4484.87</v>
      </c>
      <c r="O17" s="113">
        <f>(GROSS-Total_AR_Ded-RET_WH+FLEX_CASH-Total_Flex-OPEB_WH-DEF_COMP2)</f>
        <v>4384.87</v>
      </c>
      <c r="P17" s="113">
        <f>(GROSS-Total_AR_Ded-RET_WH+FLEX_CASH-Total_Flex-OPEB_WH-DEF_COMP3)</f>
        <v>4284.87</v>
      </c>
      <c r="Q17" s="113">
        <f>(GROSS-Total_AR_Ded-RET_WH+FLEX_CASH-Total_Flex-OPEB_WH-DEF_COMP4)</f>
        <v>4184.87</v>
      </c>
      <c r="R17" s="113">
        <f>(GROSS-Total_AR_Ded-RET_WH+FLEX_CASH-Total_Flex-OPEB_WH-DEF_COMP5)</f>
        <v>4084.87</v>
      </c>
      <c r="S17" s="114">
        <f>(GROSS-Total_AR_Ded-RET_WH+FLEX_CASH-Total_Flex-OPEB_WH-DEF_COMP6)</f>
        <v>3984.87</v>
      </c>
      <c r="Y17" s="171" t="s">
        <v>121</v>
      </c>
      <c r="Z17" s="166">
        <v>8.5000000000000006E-2</v>
      </c>
      <c r="AA17" s="172">
        <v>513</v>
      </c>
      <c r="AB17" s="173" t="s">
        <v>13</v>
      </c>
      <c r="AD17" s="180" t="s">
        <v>122</v>
      </c>
      <c r="AE17" s="181">
        <v>0</v>
      </c>
      <c r="AG17" s="27">
        <v>109750</v>
      </c>
      <c r="AH17" s="13">
        <v>0.24</v>
      </c>
      <c r="AI17" s="29">
        <v>17651</v>
      </c>
      <c r="AL17" s="17"/>
      <c r="AM17" s="96" t="s">
        <v>74</v>
      </c>
      <c r="AN17" s="97"/>
      <c r="AO17" s="98"/>
      <c r="AS17" s="96" t="s">
        <v>74</v>
      </c>
      <c r="AT17" s="97"/>
      <c r="AU17" s="98"/>
      <c r="AY17" s="96" t="s">
        <v>74</v>
      </c>
      <c r="AZ17" s="97"/>
      <c r="BA17" s="98"/>
      <c r="BE17" s="17"/>
    </row>
    <row r="18" spans="1:59" ht="15.95" customHeight="1" thickTop="1" thickBot="1" x14ac:dyDescent="0.3">
      <c r="A18" s="5" t="s">
        <v>35</v>
      </c>
      <c r="B18" s="14" t="s">
        <v>123</v>
      </c>
      <c r="C18" s="5" t="s">
        <v>124</v>
      </c>
      <c r="E18" s="6"/>
      <c r="F18" s="5"/>
      <c r="G18" s="135" t="str">
        <f>IF(BF18="FAIL","INVALID","")</f>
        <v/>
      </c>
      <c r="I18" s="17" t="s">
        <v>125</v>
      </c>
      <c r="J18" s="21">
        <f>GROSS</f>
        <v>5000</v>
      </c>
      <c r="K18" s="18"/>
      <c r="M18" s="5" t="s">
        <v>126</v>
      </c>
      <c r="N18" s="112">
        <f>(PAY_FACTOR*_TG1)</f>
        <v>53818.44</v>
      </c>
      <c r="O18" s="113">
        <f>(PAY_FACTOR*_TG2)</f>
        <v>52618.44</v>
      </c>
      <c r="P18" s="113">
        <f>(PAY_FACTOR*_TG3)</f>
        <v>51418.44</v>
      </c>
      <c r="Q18" s="113">
        <f>(PAY_FACTOR*_TG4)</f>
        <v>50218.44</v>
      </c>
      <c r="R18" s="113">
        <f>(PAY_FACTOR*_TG5)</f>
        <v>49018.44</v>
      </c>
      <c r="S18" s="114">
        <f>(PAY_FACTOR*_TG6)</f>
        <v>47818.44</v>
      </c>
      <c r="Y18" s="171" t="s">
        <v>127</v>
      </c>
      <c r="Z18" s="166">
        <v>8.7499999999999994E-2</v>
      </c>
      <c r="AA18" s="172">
        <v>513</v>
      </c>
      <c r="AB18" s="173" t="s">
        <v>13</v>
      </c>
      <c r="AD18" s="180" t="s">
        <v>128</v>
      </c>
      <c r="AE18" s="182">
        <v>0</v>
      </c>
      <c r="AG18" s="27">
        <v>203700</v>
      </c>
      <c r="AH18" s="155">
        <v>0.32</v>
      </c>
      <c r="AI18" s="29">
        <v>40199</v>
      </c>
      <c r="AL18" s="17"/>
      <c r="AM18" s="101" t="s">
        <v>95</v>
      </c>
      <c r="AN18" s="102" t="s">
        <v>96</v>
      </c>
      <c r="AO18" s="103" t="s">
        <v>97</v>
      </c>
      <c r="AS18" s="101" t="s">
        <v>95</v>
      </c>
      <c r="AT18" s="102" t="s">
        <v>96</v>
      </c>
      <c r="AU18" s="103" t="s">
        <v>97</v>
      </c>
      <c r="AY18" s="101" t="s">
        <v>95</v>
      </c>
      <c r="AZ18" s="102" t="s">
        <v>96</v>
      </c>
      <c r="BA18" s="103" t="s">
        <v>97</v>
      </c>
      <c r="BE18" s="17"/>
      <c r="BF18" s="7" t="str">
        <f>IF(OR(SDI="YES",SDI="NO"),SDI,"FAIL")</f>
        <v>YES</v>
      </c>
      <c r="BG18" s="4" t="s">
        <v>129</v>
      </c>
    </row>
    <row r="19" spans="1:59" ht="15.95" customHeight="1" thickTop="1" x14ac:dyDescent="0.25">
      <c r="A19" s="5" t="s">
        <v>130</v>
      </c>
      <c r="B19" s="26">
        <v>0</v>
      </c>
      <c r="C19" s="5" t="s">
        <v>131</v>
      </c>
      <c r="G19" s="135"/>
      <c r="I19" s="57" t="s">
        <v>132</v>
      </c>
      <c r="J19" s="59">
        <f>IF(PAY_FREQ="M",RET_EXCL_M,IF(PAY_FREQ="S",RET_EXCL_S,IF(PAY_FREQ="B",RET_EXCL_B,"ERROR")))</f>
        <v>317</v>
      </c>
      <c r="K19" s="58" t="s">
        <v>133</v>
      </c>
      <c r="M19" s="4" t="s">
        <v>134</v>
      </c>
      <c r="N19" s="112">
        <f ca="1">IF(FedHW&lt;&gt;"",(_FAN1-FEDERAL_STD_DED-Fed_Deds+Fed_Oth_Inc),(_FAN1-FEDERAL_STD_DED))</f>
        <v>40918.44</v>
      </c>
      <c r="O19" s="113">
        <f ca="1">IF(FedHW&lt;&gt;"",(O18-FEDERAL_STD_DED-Fed_Deds+Fed_Oth_Inc),(O18-FEDERAL_STD_DED))</f>
        <v>39718.44</v>
      </c>
      <c r="P19" s="113">
        <f ca="1">IF(FedHW&lt;&gt;"",(P18-FEDERAL_STD_DED-Fed_Deds+Fed_Oth_Inc),(P18-FEDERAL_STD_DED))</f>
        <v>38518.44</v>
      </c>
      <c r="Q19" s="113">
        <f ca="1">IF(FedHW&lt;&gt;"",(Q18-FEDERAL_STD_DED-Fed_Deds+Fed_Oth_Inc),(Q18-FEDERAL_STD_DED))</f>
        <v>37318.44</v>
      </c>
      <c r="R19" s="113">
        <f ca="1">IF(FedHW&lt;&gt;"",(R18-FEDERAL_STD_DED-Fed_Deds+Fed_Oth_Inc),(R18-FEDERAL_STD_DED))</f>
        <v>36118.44</v>
      </c>
      <c r="S19" s="114">
        <f ca="1">IF(FedHW&lt;&gt;"",(S18-FEDERAL_STD_DED-Fed_Deds+Fed_Oth_Inc),(S18-FEDERAL_STD_DED))</f>
        <v>34918.44</v>
      </c>
      <c r="Y19" s="171" t="s">
        <v>135</v>
      </c>
      <c r="Z19" s="166">
        <v>8.5000000000000006E-2</v>
      </c>
      <c r="AA19" s="172">
        <v>513</v>
      </c>
      <c r="AB19" s="173" t="s">
        <v>13</v>
      </c>
      <c r="AD19" s="180" t="s">
        <v>136</v>
      </c>
      <c r="AE19" s="182">
        <v>0</v>
      </c>
      <c r="AG19" s="27">
        <v>256925</v>
      </c>
      <c r="AH19" s="155">
        <v>0.35</v>
      </c>
      <c r="AI19" s="29">
        <v>57231</v>
      </c>
      <c r="AL19" s="17"/>
      <c r="AM19" s="27">
        <v>0</v>
      </c>
      <c r="AN19" s="28">
        <v>1.0999999999999999E-2</v>
      </c>
      <c r="AO19" s="29">
        <v>0</v>
      </c>
      <c r="AS19" s="23">
        <v>0</v>
      </c>
      <c r="AT19" s="24">
        <v>4.9500000000000002E-2</v>
      </c>
      <c r="AU19" s="25">
        <v>0</v>
      </c>
      <c r="AY19" s="23">
        <v>0</v>
      </c>
      <c r="AZ19" s="24">
        <v>0.04</v>
      </c>
      <c r="BA19" s="25">
        <v>0</v>
      </c>
      <c r="BE19" s="17"/>
    </row>
    <row r="20" spans="1:59" ht="15.95" customHeight="1" x14ac:dyDescent="0.25">
      <c r="A20" s="5" t="s">
        <v>137</v>
      </c>
      <c r="B20" s="26">
        <v>0</v>
      </c>
      <c r="C20" s="5" t="s">
        <v>138</v>
      </c>
      <c r="G20" s="135"/>
      <c r="I20" s="17"/>
      <c r="J20" s="63">
        <f>MAX(0,J18-J19)</f>
        <v>4683</v>
      </c>
      <c r="K20" s="18"/>
      <c r="M20" s="67" t="s">
        <v>139</v>
      </c>
      <c r="N20" s="115">
        <f ca="1">VLOOKUP(_FTG1,INDIRECT(FED_TAX_TBL_NAME),1)</f>
        <v>17100</v>
      </c>
      <c r="O20" s="116">
        <f ca="1">VLOOKUP(O19,INDIRECT(FED_TAX_TBL_NAME),1)</f>
        <v>17100</v>
      </c>
      <c r="P20" s="116">
        <f ca="1">VLOOKUP(P19,INDIRECT(FED_TAX_TBL_NAME),1)</f>
        <v>17100</v>
      </c>
      <c r="Q20" s="116">
        <f ca="1">VLOOKUP(Q19,INDIRECT(FED_TAX_TBL_NAME),1)</f>
        <v>17100</v>
      </c>
      <c r="R20" s="116">
        <f ca="1">VLOOKUP(R19,INDIRECT(FED_TAX_TBL_NAME),1)</f>
        <v>17100</v>
      </c>
      <c r="S20" s="117">
        <f ca="1">VLOOKUP(S19,INDIRECT(FED_TAX_TBL_NAME),1)</f>
        <v>17100</v>
      </c>
      <c r="V20" s="7"/>
      <c r="W20" s="7"/>
      <c r="Y20" s="171" t="s">
        <v>140</v>
      </c>
      <c r="Z20" s="166">
        <v>8.5000000000000006E-2</v>
      </c>
      <c r="AA20" s="172">
        <v>513</v>
      </c>
      <c r="AB20" s="173" t="s">
        <v>13</v>
      </c>
      <c r="AD20" s="180" t="s">
        <v>141</v>
      </c>
      <c r="AE20" s="182">
        <v>1.4E-2</v>
      </c>
      <c r="AG20" s="38">
        <v>632750</v>
      </c>
      <c r="AH20" s="156">
        <v>0.37</v>
      </c>
      <c r="AI20" s="40">
        <v>188769.75</v>
      </c>
      <c r="AL20" s="17"/>
      <c r="AM20" s="27">
        <v>10756</v>
      </c>
      <c r="AN20" s="28">
        <v>2.1999999999999999E-2</v>
      </c>
      <c r="AO20" s="29">
        <v>118.32</v>
      </c>
      <c r="AS20" s="27"/>
      <c r="AT20" s="28"/>
      <c r="AU20" s="29"/>
      <c r="AY20" s="27">
        <v>8500</v>
      </c>
      <c r="AZ20" s="28">
        <v>4.4999999999999998E-2</v>
      </c>
      <c r="BA20" s="29">
        <v>340</v>
      </c>
      <c r="BE20" s="17"/>
    </row>
    <row r="21" spans="1:59" ht="15.95" customHeight="1" x14ac:dyDescent="0.25">
      <c r="A21" s="5" t="s">
        <v>142</v>
      </c>
      <c r="B21" s="26">
        <v>0</v>
      </c>
      <c r="C21" s="5" t="s">
        <v>143</v>
      </c>
      <c r="G21" s="135"/>
      <c r="I21" s="57" t="s">
        <v>46</v>
      </c>
      <c r="J21" s="1">
        <f>RET_EE_RATE</f>
        <v>0.11</v>
      </c>
      <c r="K21" s="58" t="s">
        <v>144</v>
      </c>
      <c r="M21" s="17" t="s">
        <v>145</v>
      </c>
      <c r="N21" s="118">
        <f ca="1">VLOOKUP(_FTG1,INDIRECT(FED_TAX_TBL_NAME),2)</f>
        <v>0.1</v>
      </c>
      <c r="O21" s="119">
        <f ca="1">VLOOKUP(O19,INDIRECT(FED_TAX_TBL_NAME),2)</f>
        <v>0.1</v>
      </c>
      <c r="P21" s="119">
        <f ca="1">VLOOKUP(P19,INDIRECT(FED_TAX_TBL_NAME),2)</f>
        <v>0.1</v>
      </c>
      <c r="Q21" s="119">
        <f ca="1">VLOOKUP(Q19,INDIRECT(FED_TAX_TBL_NAME),2)</f>
        <v>0.1</v>
      </c>
      <c r="R21" s="119">
        <f ca="1">VLOOKUP(R19,INDIRECT(FED_TAX_TBL_NAME),2)</f>
        <v>0.1</v>
      </c>
      <c r="S21" s="120">
        <f ca="1">VLOOKUP(S19,INDIRECT(FED_TAX_TBL_NAME),2)</f>
        <v>0.1</v>
      </c>
      <c r="Y21" s="171" t="s">
        <v>146</v>
      </c>
      <c r="Z21" s="166">
        <v>8.5000000000000006E-2</v>
      </c>
      <c r="AA21" s="172">
        <v>513</v>
      </c>
      <c r="AB21" s="173" t="s">
        <v>13</v>
      </c>
      <c r="AD21" s="180" t="s">
        <v>147</v>
      </c>
      <c r="AE21" s="182">
        <v>0</v>
      </c>
      <c r="AL21" s="17"/>
      <c r="AM21" s="27">
        <v>25499</v>
      </c>
      <c r="AN21" s="28">
        <v>4.3999999999999997E-2</v>
      </c>
      <c r="AO21" s="29">
        <v>442.67</v>
      </c>
      <c r="AS21" s="27"/>
      <c r="AT21" s="28"/>
      <c r="AU21" s="29"/>
      <c r="AY21" s="27">
        <v>11700</v>
      </c>
      <c r="AZ21" s="28">
        <v>5.2499999999999998E-2</v>
      </c>
      <c r="BA21" s="29">
        <v>484</v>
      </c>
      <c r="BE21" s="17"/>
    </row>
    <row r="22" spans="1:59" ht="15.95" customHeight="1" thickBot="1" x14ac:dyDescent="0.3">
      <c r="A22" s="5" t="s">
        <v>148</v>
      </c>
      <c r="B22" s="26">
        <v>0</v>
      </c>
      <c r="C22" s="5" t="s">
        <v>138</v>
      </c>
      <c r="G22" s="135"/>
      <c r="I22" s="57"/>
      <c r="J22" s="72">
        <f>ROUND(J20*J21,2)</f>
        <v>515.13</v>
      </c>
      <c r="K22" s="58"/>
      <c r="M22" s="57" t="s">
        <v>149</v>
      </c>
      <c r="N22" s="121">
        <f ca="1">VLOOKUP(_FTG1,INDIRECT(FED_TAX_TBL_NAME),3)</f>
        <v>0</v>
      </c>
      <c r="O22" s="122">
        <f ca="1">VLOOKUP(O19,INDIRECT(FED_TAX_TBL_NAME),3)</f>
        <v>0</v>
      </c>
      <c r="P22" s="122">
        <f ca="1">VLOOKUP(P19,INDIRECT(FED_TAX_TBL_NAME),3)</f>
        <v>0</v>
      </c>
      <c r="Q22" s="122">
        <f ca="1">VLOOKUP(Q19,INDIRECT(FED_TAX_TBL_NAME),3)</f>
        <v>0</v>
      </c>
      <c r="R22" s="122">
        <f ca="1">VLOOKUP(R19,INDIRECT(FED_TAX_TBL_NAME),3)</f>
        <v>0</v>
      </c>
      <c r="S22" s="123">
        <f ca="1">VLOOKUP(S19,INDIRECT(FED_TAX_TBL_NAME),3)</f>
        <v>0</v>
      </c>
      <c r="Y22" s="171" t="s">
        <v>150</v>
      </c>
      <c r="Z22" s="166">
        <v>8.5000000000000006E-2</v>
      </c>
      <c r="AA22" s="172">
        <v>513</v>
      </c>
      <c r="AB22" s="173" t="s">
        <v>13</v>
      </c>
      <c r="AD22" s="180" t="s">
        <v>151</v>
      </c>
      <c r="AE22" s="182">
        <v>0</v>
      </c>
      <c r="AG22" s="96" t="s">
        <v>152</v>
      </c>
      <c r="AH22" s="97"/>
      <c r="AI22" s="98"/>
      <c r="AL22" s="17"/>
      <c r="AM22" s="27">
        <v>40245</v>
      </c>
      <c r="AN22" s="28">
        <v>6.6000000000000003E-2</v>
      </c>
      <c r="AO22" s="29">
        <v>1091.49</v>
      </c>
      <c r="AS22" s="27"/>
      <c r="AT22" s="28"/>
      <c r="AU22" s="29"/>
      <c r="AY22" s="27">
        <v>13900</v>
      </c>
      <c r="AZ22" s="28">
        <v>5.5E-2</v>
      </c>
      <c r="BA22" s="29">
        <v>600</v>
      </c>
      <c r="BE22" s="17"/>
    </row>
    <row r="23" spans="1:59" ht="15.95" customHeight="1" thickBot="1" x14ac:dyDescent="0.3">
      <c r="A23" s="31" t="s">
        <v>153</v>
      </c>
      <c r="B23" s="32">
        <v>0</v>
      </c>
      <c r="C23" s="33">
        <v>100</v>
      </c>
      <c r="D23" s="34">
        <v>200</v>
      </c>
      <c r="E23" s="34">
        <v>300</v>
      </c>
      <c r="F23" s="34">
        <v>400</v>
      </c>
      <c r="G23" s="34">
        <v>500</v>
      </c>
      <c r="I23" s="76"/>
      <c r="J23" s="76"/>
      <c r="K23" s="76"/>
      <c r="M23" s="5" t="s">
        <v>154</v>
      </c>
      <c r="N23" s="124">
        <f ca="1">(_FTG1-FBSA1)</f>
        <v>23818.440000000002</v>
      </c>
      <c r="O23" s="125">
        <f ca="1">(O19-O20)</f>
        <v>22618.440000000002</v>
      </c>
      <c r="P23" s="125">
        <f ca="1">(P19-P20)</f>
        <v>21418.440000000002</v>
      </c>
      <c r="Q23" s="125">
        <f ca="1">(Q19-Q20)</f>
        <v>20218.440000000002</v>
      </c>
      <c r="R23" s="125">
        <f ca="1">(R19-R20)</f>
        <v>19018.440000000002</v>
      </c>
      <c r="S23" s="126">
        <f ca="1">(S19-S20)</f>
        <v>17818.440000000002</v>
      </c>
      <c r="V23" s="13"/>
      <c r="W23" s="13"/>
      <c r="Y23" s="174" t="s">
        <v>106</v>
      </c>
      <c r="Z23" s="166">
        <v>0.06</v>
      </c>
      <c r="AA23" s="172">
        <v>317</v>
      </c>
      <c r="AB23" s="173" t="s">
        <v>37</v>
      </c>
      <c r="AD23" s="180" t="s">
        <v>155</v>
      </c>
      <c r="AE23" s="182">
        <v>0</v>
      </c>
      <c r="AG23" s="101" t="s">
        <v>95</v>
      </c>
      <c r="AH23" s="102" t="s">
        <v>96</v>
      </c>
      <c r="AI23" s="103" t="s">
        <v>97</v>
      </c>
      <c r="AL23" s="17"/>
      <c r="AM23" s="27">
        <v>55866</v>
      </c>
      <c r="AN23" s="28">
        <v>8.7999999999999995E-2</v>
      </c>
      <c r="AO23" s="29">
        <v>2122.48</v>
      </c>
      <c r="AS23" s="27"/>
      <c r="AT23" s="28"/>
      <c r="AU23" s="29"/>
      <c r="AY23" s="27">
        <v>80650</v>
      </c>
      <c r="AZ23" s="28">
        <v>0.06</v>
      </c>
      <c r="BA23" s="29">
        <v>4271</v>
      </c>
      <c r="BE23" s="17"/>
    </row>
    <row r="24" spans="1:59" ht="15.95" customHeight="1" x14ac:dyDescent="0.25">
      <c r="A24" s="35" t="s">
        <v>156</v>
      </c>
      <c r="B24" s="36">
        <f ca="1">(GROSS-RET_WH-SS_WH-MED_WH+FLEX_CASH-Total_Flex-Total_Voluntary_Ded-DEF_COMP1-FTAX1-STAX1-B21-SDI_WH-OPEB_WH)</f>
        <v>4157.59</v>
      </c>
      <c r="C24" s="36">
        <f ca="1">IF(DEF_COMP2&gt;0,(GROSS-RET_WH-SS_WH-MED_WH+FLEX_CASH-Total_Flex-Total_Voluntary_Ded-DEF_COMP2-FTAX2-STAX2-B21-SDI_WH-OPEB_WH),"")</f>
        <v>4069.79</v>
      </c>
      <c r="D24" s="36">
        <f ca="1">IF(DEF_COMP3&gt;0,(GROSS-RET_WH-SS_WH-MED_WH+FLEX_CASH-Total_Flex-Total_Voluntary_Ded-DEF_COMP3-FTAX3-STAX3-B21-SDI_WH-OPEB_WH),"")</f>
        <v>3981.9900000000002</v>
      </c>
      <c r="E24" s="36">
        <f ca="1">IF(DEF_COMP4&gt;0,(GROSS-RET_WH-SS_WH-MED_WH+FLEX_CASH-Total_Flex-Total_Voluntary_Ded-DEF_COMP4-FTAX4-STAX4-B21-SDI_WH-OPEB_WH),"")</f>
        <v>3894.19</v>
      </c>
      <c r="F24" s="36">
        <f ca="1">IF(DEF_COMP5&gt;0,(GROSS-RET_WH-SS_WH-MED_WH+FLEX_CASH-Total_Flex-Total_Voluntary_Ded-DEF_COMP5-FTAX5-STAX5-B21-SDI_WH-OPEB_WH),"")</f>
        <v>3806.3900000000003</v>
      </c>
      <c r="G24" s="36">
        <f ca="1">IF(DEF_COMP6&gt;0,(GROSS-RET_WH-SS_WH-MED_WH+FLEX_CASH-Total_Flex-Total_Voluntary_Ded-DEF_COMP6-FTAX6-STAX6-B21-SDI_WH-OPEB_WH),"")</f>
        <v>3718.59</v>
      </c>
      <c r="I24" s="77"/>
      <c r="J24" s="77"/>
      <c r="K24" s="77"/>
      <c r="M24" s="4" t="s">
        <v>157</v>
      </c>
      <c r="N24" s="124">
        <f ca="1">IF(FedHW="",(FBST1+ROUND(FOVR1*FMTR1,5)),(FBST1+ROUND((FOVR1*FMTR1)-Fed_Claim_Dpnts,5)))</f>
        <v>2381.8440000000001</v>
      </c>
      <c r="O24" s="125">
        <f ca="1">IF(FedHW="",(O22+ROUND(O23*FMTR2,5)),(O22+ROUND((O23*FMTR2)-Fed_Claim_Dpnts,5)))</f>
        <v>2261.8440000000001</v>
      </c>
      <c r="P24" s="125">
        <f ca="1">IF(FedHW="",(P22+ROUND(P23*FMTR2,5)),(P22+ROUND((P23*FMTR2)-Fed_Claim_Dpnts,5)))</f>
        <v>2141.8440000000001</v>
      </c>
      <c r="Q24" s="125">
        <f ca="1">IF(FedHW="",(Q22+ROUND(Q23*FMTR2,5)),(Q22+ROUND((Q23*FMTR2)-Fed_Claim_Dpnts,5)))</f>
        <v>2021.8440000000001</v>
      </c>
      <c r="R24" s="125">
        <f ca="1">IF(FedHW="",(R22+ROUND(R23*FMTR2,5)),(R22+ROUND((R23*FMTR2)-Fed_Claim_Dpnts,5)))</f>
        <v>1901.8440000000001</v>
      </c>
      <c r="S24" s="126">
        <f ca="1">IF(FedHW="",(S22+ROUND(S23*FMTR2,5)),(S22+ROUND((S23*FMTR2)-Fed_Claim_Dpnts,5)))</f>
        <v>1781.8440000000001</v>
      </c>
      <c r="Y24" s="174" t="s">
        <v>112</v>
      </c>
      <c r="Z24" s="166">
        <v>0.01</v>
      </c>
      <c r="AA24" s="172">
        <v>317</v>
      </c>
      <c r="AB24" s="173" t="s">
        <v>37</v>
      </c>
      <c r="AD24" s="180" t="s">
        <v>158</v>
      </c>
      <c r="AE24" s="182">
        <v>0</v>
      </c>
      <c r="AG24" s="27">
        <v>-999999</v>
      </c>
      <c r="AH24" s="13">
        <v>0</v>
      </c>
      <c r="AI24" s="29">
        <v>0</v>
      </c>
      <c r="AL24" s="17"/>
      <c r="AM24" s="27">
        <v>70606</v>
      </c>
      <c r="AN24" s="28">
        <v>0.1023</v>
      </c>
      <c r="AO24" s="29">
        <v>3419.6</v>
      </c>
      <c r="AS24" s="27"/>
      <c r="AT24" s="28"/>
      <c r="AU24" s="29"/>
      <c r="AY24" s="27">
        <v>96800</v>
      </c>
      <c r="AZ24" s="28">
        <v>7.1400000000000005E-2</v>
      </c>
      <c r="BA24" s="29">
        <v>5240</v>
      </c>
      <c r="BE24" s="17"/>
    </row>
    <row r="25" spans="1:59" ht="15.95" customHeight="1" thickBot="1" x14ac:dyDescent="0.3">
      <c r="A25" s="5" t="s">
        <v>159</v>
      </c>
      <c r="B25" s="61"/>
      <c r="C25" s="37">
        <f ca="1">IF(DEF_COMP2&gt;0,($B$24-C24),"")</f>
        <v>87.800000000000182</v>
      </c>
      <c r="D25" s="37">
        <f ca="1">IF(DEF_COMP3&gt;0,($B$24-D24),"")</f>
        <v>175.59999999999991</v>
      </c>
      <c r="E25" s="37">
        <f ca="1">IF(DEF_COMP4&gt;0,($B$24-E24),"")</f>
        <v>263.40000000000009</v>
      </c>
      <c r="F25" s="37">
        <f ca="1">IF(DEF_COMP5&gt;0,($B$24-F24),"")</f>
        <v>351.19999999999982</v>
      </c>
      <c r="G25" s="37">
        <f ca="1">IF(DEF_COMP6&gt;0,($B$24-G24),"")</f>
        <v>439</v>
      </c>
      <c r="I25" s="64" t="s">
        <v>160</v>
      </c>
      <c r="J25" s="65"/>
      <c r="K25" s="66"/>
      <c r="M25" s="4" t="s">
        <v>161</v>
      </c>
      <c r="N25" s="124">
        <f ca="1">IF(FED_MARITAL_STATUS="E",0,MAX(0,ROUND(_FTA1/PAY_FACTOR,2)))</f>
        <v>198.49</v>
      </c>
      <c r="O25" s="125">
        <f ca="1">IF(FED_MARITAL_STATUS="E",0,MAX(0,ROUND(O24/PAY_FACTOR,2)))</f>
        <v>188.49</v>
      </c>
      <c r="P25" s="125">
        <f ca="1">IF(FED_MARITAL_STATUS="E",0,MAX(0,ROUND(P24/PAY_FACTOR,2)))</f>
        <v>178.49</v>
      </c>
      <c r="Q25" s="125">
        <f ca="1">IF(FED_MARITAL_STATUS="E",0,MAX(0,ROUND(Q24/PAY_FACTOR,2)))</f>
        <v>168.49</v>
      </c>
      <c r="R25" s="125">
        <f ca="1">IF(FED_MARITAL_STATUS="E",0,MAX(0,ROUND(R24/PAY_FACTOR,2)))</f>
        <v>158.49</v>
      </c>
      <c r="S25" s="126">
        <f ca="1">IF(FED_MARITAL_STATUS="E",0,MAX(0,ROUND(S24/PAY_FACTOR,2)))</f>
        <v>148.49</v>
      </c>
      <c r="Y25" s="174" t="s">
        <v>117</v>
      </c>
      <c r="Z25" s="166">
        <v>0.06</v>
      </c>
      <c r="AA25" s="172">
        <v>317</v>
      </c>
      <c r="AB25" s="173" t="s">
        <v>22</v>
      </c>
      <c r="AD25" s="180" t="s">
        <v>162</v>
      </c>
      <c r="AE25" s="182">
        <v>0</v>
      </c>
      <c r="AG25" s="27">
        <v>17100</v>
      </c>
      <c r="AH25" s="13">
        <v>0.1</v>
      </c>
      <c r="AI25" s="29">
        <v>0</v>
      </c>
      <c r="AL25" s="17"/>
      <c r="AM25" s="27">
        <v>360659</v>
      </c>
      <c r="AN25" s="28">
        <v>0.1133</v>
      </c>
      <c r="AO25" s="29">
        <v>33092.019999999997</v>
      </c>
      <c r="AS25" s="27"/>
      <c r="AT25" s="28"/>
      <c r="AU25" s="29"/>
      <c r="AY25" s="27">
        <v>107650</v>
      </c>
      <c r="AZ25" s="28">
        <v>7.6399999999999996E-2</v>
      </c>
      <c r="BA25" s="29">
        <v>6014</v>
      </c>
      <c r="BE25" s="17"/>
    </row>
    <row r="26" spans="1:59" ht="15.95" customHeight="1" thickTop="1" x14ac:dyDescent="0.25">
      <c r="A26" s="5" t="s">
        <v>163</v>
      </c>
      <c r="B26" s="37">
        <f ca="1">(FTAX1)</f>
        <v>198.49</v>
      </c>
      <c r="C26" s="37">
        <f ca="1">IF(DEF_COMP2&gt;0,FTAX2,"")</f>
        <v>188.49</v>
      </c>
      <c r="D26" s="37">
        <f ca="1">IF(DEF_COMP3&gt;0,FTAX3,"")</f>
        <v>178.49</v>
      </c>
      <c r="E26" s="37">
        <f ca="1">IF(DEF_COMP4&gt;0,FTAX4,"")</f>
        <v>168.49</v>
      </c>
      <c r="F26" s="37">
        <f ca="1">IF(DEF_COMP5&gt;0,FTAX5,"")</f>
        <v>158.49</v>
      </c>
      <c r="G26" s="37">
        <f ca="1">IF(DEF_COMP6&gt;0,FTAX6,"")</f>
        <v>148.49</v>
      </c>
      <c r="I26" s="17" t="s">
        <v>43</v>
      </c>
      <c r="J26" s="6" t="str">
        <f>OPEB_CBID</f>
        <v>R01</v>
      </c>
      <c r="K26" s="18"/>
      <c r="P26" s="9"/>
      <c r="Q26" s="9"/>
      <c r="Y26" s="174" t="s">
        <v>122</v>
      </c>
      <c r="Z26" s="166">
        <v>3.7499999999999999E-2</v>
      </c>
      <c r="AA26" s="172">
        <v>0</v>
      </c>
      <c r="AB26" s="173" t="s">
        <v>22</v>
      </c>
      <c r="AD26" s="180" t="s">
        <v>164</v>
      </c>
      <c r="AE26" s="182">
        <v>0</v>
      </c>
      <c r="AG26" s="27">
        <v>40950</v>
      </c>
      <c r="AH26" s="13">
        <v>0.12</v>
      </c>
      <c r="AI26" s="29">
        <v>2385</v>
      </c>
      <c r="AL26" s="17"/>
      <c r="AM26" s="27">
        <v>432787</v>
      </c>
      <c r="AN26" s="28">
        <v>0.12429999999999999</v>
      </c>
      <c r="AO26" s="29">
        <v>41264.120000000003</v>
      </c>
      <c r="AS26" s="27"/>
      <c r="AT26" s="28"/>
      <c r="AU26" s="29"/>
      <c r="AY26" s="27">
        <v>157650</v>
      </c>
      <c r="AZ26" s="28">
        <v>6.5000000000000002E-2</v>
      </c>
      <c r="BA26" s="29">
        <v>9832</v>
      </c>
      <c r="BE26" s="17"/>
    </row>
    <row r="27" spans="1:59" ht="15.95" customHeight="1" x14ac:dyDescent="0.25">
      <c r="A27" s="5" t="s">
        <v>165</v>
      </c>
      <c r="B27" s="37">
        <f ca="1">(STAX1)</f>
        <v>68.790000000000006</v>
      </c>
      <c r="C27" s="37">
        <f ca="1">IF(DEF_COMP2&gt;0,STAX2,"")</f>
        <v>66.59</v>
      </c>
      <c r="D27" s="37">
        <f ca="1">IF(DEF_COMP3&gt;0,STAX3,"")</f>
        <v>64.39</v>
      </c>
      <c r="E27" s="37">
        <f ca="1">IF(DEF_COMP4&gt;0,STAX4,"")</f>
        <v>62.19</v>
      </c>
      <c r="F27" s="37">
        <f ca="1">IF(DEF_COMP5&gt;0,STAX5,"")</f>
        <v>59.99</v>
      </c>
      <c r="G27" s="37">
        <f ca="1">IF(DEF_COMP6&gt;0,STAX6,"")</f>
        <v>57.79</v>
      </c>
      <c r="I27" s="57" t="s">
        <v>166</v>
      </c>
      <c r="J27" s="1">
        <f>VLOOKUP(OPEB_CBID,OPEB_TABLE,2,FALSE)</f>
        <v>0</v>
      </c>
      <c r="K27" s="58"/>
      <c r="P27" s="9"/>
      <c r="Q27" s="9"/>
      <c r="Y27" s="174" t="s">
        <v>128</v>
      </c>
      <c r="Z27" s="166">
        <v>0</v>
      </c>
      <c r="AA27" s="172">
        <v>0</v>
      </c>
      <c r="AB27" s="173" t="s">
        <v>37</v>
      </c>
      <c r="AD27" s="180" t="s">
        <v>167</v>
      </c>
      <c r="AE27" s="182">
        <v>0</v>
      </c>
      <c r="AG27" s="27">
        <v>114050</v>
      </c>
      <c r="AH27" s="13">
        <v>0.22</v>
      </c>
      <c r="AI27" s="29">
        <v>11157</v>
      </c>
      <c r="AL27" s="17"/>
      <c r="AM27" s="27">
        <v>721314</v>
      </c>
      <c r="AN27" s="28">
        <v>0.1353</v>
      </c>
      <c r="AO27" s="29">
        <v>77128.03</v>
      </c>
      <c r="AS27" s="27"/>
      <c r="AT27" s="28"/>
      <c r="AU27" s="29"/>
      <c r="AY27" s="27">
        <v>215400</v>
      </c>
      <c r="AZ27" s="28">
        <v>0.1101</v>
      </c>
      <c r="BA27" s="29">
        <v>13586</v>
      </c>
      <c r="BE27" s="17"/>
    </row>
    <row r="28" spans="1:59" ht="15.95" customHeight="1" x14ac:dyDescent="0.25">
      <c r="A28" s="5" t="s">
        <v>168</v>
      </c>
      <c r="B28" s="37">
        <f t="shared" ref="B28:G28" si="1">RET_WH</f>
        <v>515.13</v>
      </c>
      <c r="C28" s="37">
        <f t="shared" si="1"/>
        <v>515.13</v>
      </c>
      <c r="D28" s="37">
        <f t="shared" si="1"/>
        <v>515.13</v>
      </c>
      <c r="E28" s="37">
        <f t="shared" si="1"/>
        <v>515.13</v>
      </c>
      <c r="F28" s="37">
        <f t="shared" si="1"/>
        <v>515.13</v>
      </c>
      <c r="G28" s="37">
        <f t="shared" si="1"/>
        <v>515.13</v>
      </c>
      <c r="P28" s="9"/>
      <c r="Q28" s="9"/>
      <c r="T28" s="55"/>
      <c r="Y28" s="174" t="s">
        <v>136</v>
      </c>
      <c r="Z28" s="166">
        <v>0.06</v>
      </c>
      <c r="AA28" s="172">
        <v>238</v>
      </c>
      <c r="AB28" s="173" t="s">
        <v>37</v>
      </c>
      <c r="AD28" s="180" t="s">
        <v>169</v>
      </c>
      <c r="AE28" s="182">
        <v>0</v>
      </c>
      <c r="AG28" s="27">
        <v>223800</v>
      </c>
      <c r="AH28" s="13">
        <v>0.24</v>
      </c>
      <c r="AI28" s="29">
        <v>35302</v>
      </c>
      <c r="AL28" s="17"/>
      <c r="AM28" s="27">
        <v>1000000</v>
      </c>
      <c r="AN28" s="28">
        <v>0.14630000000000001</v>
      </c>
      <c r="AO28" s="29">
        <v>114834.25</v>
      </c>
      <c r="AS28" s="27"/>
      <c r="AT28" s="28"/>
      <c r="AU28" s="29"/>
      <c r="AY28" s="27">
        <v>265400</v>
      </c>
      <c r="AZ28" s="28">
        <v>7.3499999999999996E-2</v>
      </c>
      <c r="BA28" s="29">
        <v>19092</v>
      </c>
      <c r="BE28" s="17"/>
    </row>
    <row r="29" spans="1:59" ht="15.95" customHeight="1" thickBot="1" x14ac:dyDescent="0.3">
      <c r="A29" s="5" t="s">
        <v>170</v>
      </c>
      <c r="B29" s="37">
        <f t="shared" ref="B29:G29" si="2">OPEB_WH</f>
        <v>0</v>
      </c>
      <c r="C29" s="37">
        <f t="shared" si="2"/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  <c r="I29" s="64" t="s">
        <v>171</v>
      </c>
      <c r="J29" s="65"/>
      <c r="K29" s="66"/>
      <c r="P29" s="9"/>
      <c r="Q29" s="9"/>
      <c r="T29" s="29"/>
      <c r="U29" s="7"/>
      <c r="Y29" s="174" t="s">
        <v>141</v>
      </c>
      <c r="Z29" s="166">
        <v>0.06</v>
      </c>
      <c r="AA29" s="172">
        <v>238</v>
      </c>
      <c r="AB29" s="173" t="s">
        <v>22</v>
      </c>
      <c r="AD29" s="180" t="s">
        <v>172</v>
      </c>
      <c r="AE29" s="182">
        <v>0</v>
      </c>
      <c r="AG29" s="27">
        <v>411700</v>
      </c>
      <c r="AH29" s="13">
        <v>0.32</v>
      </c>
      <c r="AI29" s="29">
        <v>80398</v>
      </c>
      <c r="AL29" s="17"/>
      <c r="AM29" s="38">
        <v>9999999</v>
      </c>
      <c r="AN29" s="39">
        <v>0.14630000000000001</v>
      </c>
      <c r="AO29" s="40">
        <v>114834.25</v>
      </c>
      <c r="AS29" s="27"/>
      <c r="AT29" s="28"/>
      <c r="AU29" s="29"/>
      <c r="AY29" s="27">
        <v>1077550</v>
      </c>
      <c r="AZ29" s="28">
        <v>0.1045</v>
      </c>
      <c r="BA29" s="29">
        <v>0</v>
      </c>
      <c r="BE29" s="17"/>
    </row>
    <row r="30" spans="1:59" ht="15.95" customHeight="1" thickTop="1" x14ac:dyDescent="0.25">
      <c r="A30" s="5" t="s">
        <v>173</v>
      </c>
      <c r="B30" s="37">
        <f t="shared" ref="B30:G30" si="3">SS_WH</f>
        <v>0</v>
      </c>
      <c r="C30" s="37">
        <f t="shared" si="3"/>
        <v>0</v>
      </c>
      <c r="D30" s="37">
        <f t="shared" si="3"/>
        <v>0</v>
      </c>
      <c r="E30" s="37">
        <f t="shared" si="3"/>
        <v>0</v>
      </c>
      <c r="F30" s="37">
        <f t="shared" si="3"/>
        <v>0</v>
      </c>
      <c r="G30" s="37">
        <f t="shared" si="3"/>
        <v>0</v>
      </c>
      <c r="I30" s="17" t="s">
        <v>125</v>
      </c>
      <c r="J30" s="21">
        <f>GROSS</f>
        <v>5000</v>
      </c>
      <c r="K30" s="18"/>
      <c r="P30" s="9"/>
      <c r="Q30" s="9"/>
      <c r="T30" s="29"/>
      <c r="U30" s="13"/>
      <c r="Y30" s="174" t="s">
        <v>147</v>
      </c>
      <c r="Z30" s="166">
        <v>0.06</v>
      </c>
      <c r="AA30" s="172">
        <v>317</v>
      </c>
      <c r="AB30" s="173" t="s">
        <v>22</v>
      </c>
      <c r="AD30" s="180" t="s">
        <v>174</v>
      </c>
      <c r="AE30" s="182">
        <v>0</v>
      </c>
      <c r="AG30" s="27">
        <v>518150</v>
      </c>
      <c r="AH30" s="155">
        <v>0.35</v>
      </c>
      <c r="AI30" s="29">
        <v>114462</v>
      </c>
      <c r="AL30" s="17"/>
      <c r="AS30" s="27"/>
      <c r="AT30" s="28"/>
      <c r="AU30" s="29"/>
      <c r="AY30" s="27">
        <v>5000000</v>
      </c>
      <c r="AZ30" s="28">
        <v>0.111</v>
      </c>
      <c r="BA30" s="29">
        <v>0</v>
      </c>
      <c r="BE30" s="17"/>
    </row>
    <row r="31" spans="1:59" ht="15.95" customHeight="1" x14ac:dyDescent="0.25">
      <c r="A31" s="5" t="s">
        <v>175</v>
      </c>
      <c r="B31" s="37">
        <f t="shared" ref="B31:G31" si="4">MED_WH</f>
        <v>0</v>
      </c>
      <c r="C31" s="37">
        <f t="shared" si="4"/>
        <v>0</v>
      </c>
      <c r="D31" s="37">
        <f t="shared" si="4"/>
        <v>0</v>
      </c>
      <c r="E31" s="37">
        <f t="shared" si="4"/>
        <v>0</v>
      </c>
      <c r="F31" s="37">
        <f t="shared" si="4"/>
        <v>0</v>
      </c>
      <c r="G31" s="37">
        <f t="shared" si="4"/>
        <v>0</v>
      </c>
      <c r="I31" s="57" t="s">
        <v>166</v>
      </c>
      <c r="J31" s="1">
        <f>VLOOKUP(OPEB_CBID,OPEB_TABLE,2,FALSE)</f>
        <v>0</v>
      </c>
      <c r="K31" s="58" t="s">
        <v>144</v>
      </c>
      <c r="P31" s="9"/>
      <c r="Q31" s="9"/>
      <c r="R31" s="5"/>
      <c r="T31" s="29"/>
      <c r="U31" s="13"/>
      <c r="Y31" s="174" t="s">
        <v>151</v>
      </c>
      <c r="Z31" s="166">
        <v>0.06</v>
      </c>
      <c r="AA31" s="172">
        <v>317</v>
      </c>
      <c r="AB31" s="173" t="s">
        <v>37</v>
      </c>
      <c r="AD31" s="180" t="s">
        <v>176</v>
      </c>
      <c r="AE31" s="182">
        <v>0</v>
      </c>
      <c r="AG31" s="38">
        <v>768700</v>
      </c>
      <c r="AH31" s="156">
        <v>0.37</v>
      </c>
      <c r="AI31" s="40">
        <v>202154.5</v>
      </c>
      <c r="AL31" s="17"/>
      <c r="AS31" s="38"/>
      <c r="AT31" s="39"/>
      <c r="AU31" s="40"/>
      <c r="AY31" s="38">
        <v>25000000</v>
      </c>
      <c r="AZ31" s="39">
        <v>0.11700000000000001</v>
      </c>
      <c r="BA31" s="40">
        <v>0</v>
      </c>
      <c r="BE31" s="17"/>
    </row>
    <row r="32" spans="1:59" ht="15.95" customHeight="1" x14ac:dyDescent="0.25">
      <c r="A32" s="5" t="s">
        <v>177</v>
      </c>
      <c r="B32" s="37">
        <f t="shared" ref="B32:G32" si="5">SDI_WH</f>
        <v>60</v>
      </c>
      <c r="C32" s="37">
        <f t="shared" si="5"/>
        <v>60</v>
      </c>
      <c r="D32" s="37">
        <f t="shared" si="5"/>
        <v>60</v>
      </c>
      <c r="E32" s="37">
        <f t="shared" si="5"/>
        <v>60</v>
      </c>
      <c r="F32" s="37">
        <f t="shared" si="5"/>
        <v>60</v>
      </c>
      <c r="G32" s="37">
        <f t="shared" si="5"/>
        <v>60</v>
      </c>
      <c r="I32" s="57"/>
      <c r="J32" s="72">
        <f>ROUND(J30*J31,2)</f>
        <v>0</v>
      </c>
      <c r="K32" s="58"/>
      <c r="M32" s="106" t="s">
        <v>178</v>
      </c>
      <c r="N32" s="106"/>
      <c r="O32" s="106"/>
      <c r="P32" s="107"/>
      <c r="Q32" s="107"/>
      <c r="R32" s="106"/>
      <c r="S32" s="106"/>
      <c r="T32" s="29"/>
      <c r="U32" s="13"/>
      <c r="Y32" s="174" t="s">
        <v>155</v>
      </c>
      <c r="Z32" s="166">
        <v>0.11</v>
      </c>
      <c r="AA32" s="172">
        <v>317</v>
      </c>
      <c r="AB32" s="173" t="s">
        <v>22</v>
      </c>
      <c r="AD32" s="180" t="s">
        <v>179</v>
      </c>
      <c r="AE32" s="182">
        <v>0</v>
      </c>
      <c r="AG32" s="13"/>
      <c r="AH32" s="13"/>
      <c r="AI32" s="13"/>
      <c r="AL32" s="17"/>
      <c r="AS32"/>
      <c r="AT32"/>
      <c r="AU32"/>
      <c r="AY32" s="3"/>
      <c r="AZ32" s="3"/>
      <c r="BA32" s="3"/>
      <c r="BE32" s="17"/>
    </row>
    <row r="33" spans="1:57" ht="15.95" customHeight="1" x14ac:dyDescent="0.25">
      <c r="A33" s="5" t="s">
        <v>180</v>
      </c>
      <c r="B33" s="37">
        <f t="shared" ref="B33:G33" si="6">N17</f>
        <v>4484.87</v>
      </c>
      <c r="C33" s="37">
        <f t="shared" si="6"/>
        <v>4384.87</v>
      </c>
      <c r="D33" s="37">
        <f t="shared" si="6"/>
        <v>4284.87</v>
      </c>
      <c r="E33" s="37">
        <f t="shared" si="6"/>
        <v>4184.87</v>
      </c>
      <c r="F33" s="37">
        <f t="shared" si="6"/>
        <v>4084.87</v>
      </c>
      <c r="G33" s="37">
        <f t="shared" si="6"/>
        <v>3984.87</v>
      </c>
      <c r="I33" s="76"/>
      <c r="J33" s="76"/>
      <c r="K33" s="76"/>
      <c r="M33" s="5" t="s">
        <v>181</v>
      </c>
      <c r="N33" s="13">
        <f ca="1">(STATE_ADDTL_EXEMPTIONS*INDIRECT(N45))</f>
        <v>0</v>
      </c>
      <c r="Q33" s="7"/>
      <c r="R33" s="5"/>
      <c r="T33" s="29"/>
      <c r="U33" s="13"/>
      <c r="Y33" s="171" t="s">
        <v>182</v>
      </c>
      <c r="Z33" s="166">
        <v>7.0000000000000007E-2</v>
      </c>
      <c r="AA33" s="172">
        <v>317</v>
      </c>
      <c r="AB33" s="173" t="s">
        <v>37</v>
      </c>
      <c r="AD33" s="180" t="s">
        <v>183</v>
      </c>
      <c r="AE33" s="182">
        <v>0</v>
      </c>
      <c r="AG33" s="96" t="s">
        <v>184</v>
      </c>
      <c r="AH33" s="97"/>
      <c r="AI33" s="98"/>
      <c r="AL33" s="17"/>
      <c r="AM33" s="96" t="s">
        <v>185</v>
      </c>
      <c r="AN33" s="97"/>
      <c r="AO33" s="98"/>
      <c r="AS33" s="96" t="s">
        <v>185</v>
      </c>
      <c r="AT33" s="97"/>
      <c r="AU33" s="98"/>
      <c r="AY33" s="96" t="s">
        <v>185</v>
      </c>
      <c r="AZ33" s="97"/>
      <c r="BA33" s="98"/>
      <c r="BE33" s="17"/>
    </row>
    <row r="34" spans="1:57" ht="15.95" customHeight="1" thickBot="1" x14ac:dyDescent="0.3">
      <c r="A34" s="5" t="s">
        <v>186</v>
      </c>
      <c r="B34" s="37">
        <f t="shared" ref="B34:G34" si="7">N57</f>
        <v>4484.87</v>
      </c>
      <c r="C34" s="37">
        <f t="shared" si="7"/>
        <v>4384.87</v>
      </c>
      <c r="D34" s="37">
        <f t="shared" si="7"/>
        <v>4284.87</v>
      </c>
      <c r="E34" s="37">
        <f t="shared" si="7"/>
        <v>4184.87</v>
      </c>
      <c r="F34" s="37">
        <f t="shared" si="7"/>
        <v>4084.87</v>
      </c>
      <c r="G34" s="37">
        <f t="shared" si="7"/>
        <v>3984.87</v>
      </c>
      <c r="I34" s="77"/>
      <c r="J34" s="77"/>
      <c r="K34" s="77"/>
      <c r="M34" s="5" t="s">
        <v>34</v>
      </c>
      <c r="N34" s="13">
        <f ca="1">INDEX(INDIRECT(N49),N50)</f>
        <v>5540</v>
      </c>
      <c r="R34" s="5"/>
      <c r="T34" s="29"/>
      <c r="U34" s="13"/>
      <c r="Y34" s="171" t="s">
        <v>187</v>
      </c>
      <c r="Z34" s="166">
        <v>0.11</v>
      </c>
      <c r="AA34" s="172">
        <v>317</v>
      </c>
      <c r="AB34" s="173" t="s">
        <v>37</v>
      </c>
      <c r="AD34" s="180" t="s">
        <v>188</v>
      </c>
      <c r="AE34" s="182">
        <v>0</v>
      </c>
      <c r="AG34" s="101" t="s">
        <v>95</v>
      </c>
      <c r="AH34" s="102" t="s">
        <v>96</v>
      </c>
      <c r="AI34" s="103" t="s">
        <v>97</v>
      </c>
      <c r="AL34" s="17"/>
      <c r="AM34" s="101" t="s">
        <v>95</v>
      </c>
      <c r="AN34" s="102" t="s">
        <v>96</v>
      </c>
      <c r="AO34" s="103" t="s">
        <v>97</v>
      </c>
      <c r="AS34" s="101" t="s">
        <v>95</v>
      </c>
      <c r="AT34" s="102" t="s">
        <v>96</v>
      </c>
      <c r="AU34" s="103" t="s">
        <v>97</v>
      </c>
      <c r="AY34" s="101" t="s">
        <v>95</v>
      </c>
      <c r="AZ34" s="102" t="s">
        <v>96</v>
      </c>
      <c r="BA34" s="103" t="s">
        <v>97</v>
      </c>
      <c r="BE34" s="17"/>
    </row>
    <row r="35" spans="1:57" ht="15.95" customHeight="1" thickTop="1" thickBot="1" x14ac:dyDescent="0.3">
      <c r="A35" s="5" t="s">
        <v>189</v>
      </c>
      <c r="B35" s="37">
        <f t="shared" ref="B35:G35" si="8">SS_TAX_GROSS</f>
        <v>5000</v>
      </c>
      <c r="C35" s="37">
        <f t="shared" si="8"/>
        <v>5000</v>
      </c>
      <c r="D35" s="37">
        <f t="shared" si="8"/>
        <v>5000</v>
      </c>
      <c r="E35" s="37">
        <f t="shared" si="8"/>
        <v>5000</v>
      </c>
      <c r="F35" s="37">
        <f t="shared" si="8"/>
        <v>5000</v>
      </c>
      <c r="G35" s="37">
        <f t="shared" si="8"/>
        <v>5000</v>
      </c>
      <c r="I35" s="64" t="s">
        <v>190</v>
      </c>
      <c r="J35" s="65"/>
      <c r="K35" s="66"/>
      <c r="M35" s="5" t="s">
        <v>191</v>
      </c>
      <c r="N35" s="13">
        <f ca="1">INDEX(INDIRECT(N47),N48)</f>
        <v>18368</v>
      </c>
      <c r="R35" s="5"/>
      <c r="U35" s="13"/>
      <c r="Y35" s="171" t="s">
        <v>192</v>
      </c>
      <c r="Z35" s="166">
        <v>0.11</v>
      </c>
      <c r="AA35" s="172">
        <v>317</v>
      </c>
      <c r="AB35" s="173" t="s">
        <v>22</v>
      </c>
      <c r="AD35" s="180" t="s">
        <v>193</v>
      </c>
      <c r="AE35" s="182">
        <v>2.3E-2</v>
      </c>
      <c r="AG35" s="27">
        <v>-999999</v>
      </c>
      <c r="AH35" s="13">
        <v>0</v>
      </c>
      <c r="AI35" s="29">
        <v>0</v>
      </c>
      <c r="AL35" s="17"/>
      <c r="AM35" s="23">
        <v>0</v>
      </c>
      <c r="AN35" s="24">
        <v>1.0999999999999999E-2</v>
      </c>
      <c r="AO35" s="25">
        <v>0</v>
      </c>
      <c r="AS35" s="23">
        <v>0</v>
      </c>
      <c r="AT35" s="24">
        <v>4.9500000000000002E-2</v>
      </c>
      <c r="AU35" s="25">
        <v>0</v>
      </c>
      <c r="AY35" s="23">
        <v>0</v>
      </c>
      <c r="AZ35" s="24">
        <v>0.04</v>
      </c>
      <c r="BA35" s="25">
        <v>0</v>
      </c>
      <c r="BE35" s="17"/>
    </row>
    <row r="36" spans="1:57" ht="15.95" customHeight="1" thickTop="1" thickBot="1" x14ac:dyDescent="0.3">
      <c r="A36" s="31" t="s">
        <v>194</v>
      </c>
      <c r="B36" s="41">
        <f t="shared" ref="B36:G36" si="9">MED_TAX_GROSS</f>
        <v>5000</v>
      </c>
      <c r="C36" s="41">
        <f t="shared" si="9"/>
        <v>5000</v>
      </c>
      <c r="D36" s="41">
        <f t="shared" si="9"/>
        <v>5000</v>
      </c>
      <c r="E36" s="41">
        <f t="shared" si="9"/>
        <v>5000</v>
      </c>
      <c r="F36" s="41">
        <f t="shared" si="9"/>
        <v>5000</v>
      </c>
      <c r="G36" s="41">
        <f t="shared" si="9"/>
        <v>5000</v>
      </c>
      <c r="I36" s="17" t="s">
        <v>125</v>
      </c>
      <c r="J36" s="21">
        <f>GROSS</f>
        <v>5000</v>
      </c>
      <c r="K36" s="18"/>
      <c r="O36" s="13"/>
      <c r="P36" s="13"/>
      <c r="Q36" s="13"/>
      <c r="R36" s="5"/>
      <c r="Y36" s="171" t="s">
        <v>195</v>
      </c>
      <c r="Z36" s="166">
        <v>0.11</v>
      </c>
      <c r="AA36" s="172">
        <v>317</v>
      </c>
      <c r="AB36" s="173" t="s">
        <v>22</v>
      </c>
      <c r="AD36" s="180" t="s">
        <v>196</v>
      </c>
      <c r="AE36" s="182">
        <v>2.3E-2</v>
      </c>
      <c r="AG36" s="27">
        <v>13900</v>
      </c>
      <c r="AH36" s="13">
        <v>0.1</v>
      </c>
      <c r="AI36" s="29">
        <v>0</v>
      </c>
      <c r="AL36" s="17"/>
      <c r="AM36" s="27">
        <v>21512</v>
      </c>
      <c r="AN36" s="28">
        <v>2.1999999999999999E-2</v>
      </c>
      <c r="AO36" s="29">
        <v>236.63</v>
      </c>
      <c r="AS36" s="27"/>
      <c r="AT36" s="28"/>
      <c r="AU36" s="29"/>
      <c r="AY36" s="27">
        <v>8500</v>
      </c>
      <c r="AZ36" s="28">
        <v>4.4999999999999998E-2</v>
      </c>
      <c r="BA36" s="29">
        <v>340</v>
      </c>
      <c r="BE36" s="17"/>
    </row>
    <row r="37" spans="1:57" ht="15.95" customHeight="1" x14ac:dyDescent="0.25">
      <c r="G37" s="163" t="s">
        <v>834</v>
      </c>
      <c r="I37" s="17" t="s">
        <v>197</v>
      </c>
      <c r="J37" s="21">
        <f>FLEX_CASH</f>
        <v>0</v>
      </c>
      <c r="K37" s="18" t="s">
        <v>198</v>
      </c>
      <c r="M37" s="5" t="s">
        <v>199</v>
      </c>
      <c r="N37" s="13">
        <f ca="1">VLOOKUP(N44,INDIRECT(N51),N52,FALSE)</f>
        <v>0</v>
      </c>
      <c r="Y37" s="171" t="s">
        <v>200</v>
      </c>
      <c r="Z37" s="166">
        <v>0.11</v>
      </c>
      <c r="AA37" s="172">
        <v>317</v>
      </c>
      <c r="AB37" s="173" t="s">
        <v>37</v>
      </c>
      <c r="AD37" s="180" t="s">
        <v>201</v>
      </c>
      <c r="AE37" s="182">
        <v>0</v>
      </c>
      <c r="AG37" s="27">
        <v>30900</v>
      </c>
      <c r="AH37" s="13">
        <v>0.12</v>
      </c>
      <c r="AI37" s="29">
        <v>1700</v>
      </c>
      <c r="AL37" s="17"/>
      <c r="AM37" s="27">
        <v>50998</v>
      </c>
      <c r="AN37" s="28">
        <v>4.3999999999999997E-2</v>
      </c>
      <c r="AO37" s="29">
        <v>885.32</v>
      </c>
      <c r="AS37" s="27"/>
      <c r="AT37" s="28"/>
      <c r="AU37" s="29"/>
      <c r="AY37" s="27">
        <v>11700</v>
      </c>
      <c r="AZ37" s="28">
        <v>5.2499999999999998E-2</v>
      </c>
      <c r="BA37" s="29">
        <v>484</v>
      </c>
      <c r="BE37" s="17"/>
    </row>
    <row r="38" spans="1:57" ht="15.95" customHeight="1" x14ac:dyDescent="0.25">
      <c r="C38" s="42" t="s">
        <v>202</v>
      </c>
      <c r="I38" s="17" t="s">
        <v>203</v>
      </c>
      <c r="J38" s="21">
        <f>Total_Flex</f>
        <v>0</v>
      </c>
      <c r="K38" s="18" t="s">
        <v>133</v>
      </c>
      <c r="M38" s="94" t="s">
        <v>204</v>
      </c>
      <c r="N38" s="82">
        <f ca="1">VLOOKUP(N44,INDIRECT(N51),N53,FALSE) * MAX(0,N46-2)</f>
        <v>0</v>
      </c>
      <c r="Y38" s="171" t="s">
        <v>205</v>
      </c>
      <c r="Z38" s="166">
        <v>0.11</v>
      </c>
      <c r="AA38" s="172">
        <v>317</v>
      </c>
      <c r="AB38" s="173" t="s">
        <v>22</v>
      </c>
      <c r="AD38" s="180" t="s">
        <v>206</v>
      </c>
      <c r="AE38" s="182">
        <v>0</v>
      </c>
      <c r="AG38" s="27">
        <v>78750</v>
      </c>
      <c r="AH38" s="13">
        <v>0.22</v>
      </c>
      <c r="AI38" s="29">
        <v>7442</v>
      </c>
      <c r="AL38" s="17"/>
      <c r="AM38" s="27">
        <v>80490</v>
      </c>
      <c r="AN38" s="28">
        <v>6.6000000000000003E-2</v>
      </c>
      <c r="AO38" s="29">
        <v>2182.9699999999998</v>
      </c>
      <c r="AS38" s="27"/>
      <c r="AT38" s="28"/>
      <c r="AU38" s="29"/>
      <c r="AY38" s="27">
        <v>13900</v>
      </c>
      <c r="AZ38" s="28">
        <v>5.5E-2</v>
      </c>
      <c r="BA38" s="29">
        <v>600</v>
      </c>
      <c r="BE38" s="17"/>
    </row>
    <row r="39" spans="1:57" ht="15.95" customHeight="1" x14ac:dyDescent="0.25">
      <c r="I39" s="57" t="s">
        <v>207</v>
      </c>
      <c r="J39" s="59">
        <f>OPEB_WH</f>
        <v>0</v>
      </c>
      <c r="K39" s="58" t="s">
        <v>133</v>
      </c>
      <c r="M39" s="5" t="s">
        <v>208</v>
      </c>
      <c r="N39" s="13">
        <f ca="1">TXCRB+TXCROV2</f>
        <v>0</v>
      </c>
      <c r="V39" s="7"/>
      <c r="W39" s="7"/>
      <c r="Y39" s="171" t="s">
        <v>209</v>
      </c>
      <c r="Z39" s="166">
        <v>0.11</v>
      </c>
      <c r="AA39" s="172">
        <v>317</v>
      </c>
      <c r="AB39" s="173" t="s">
        <v>37</v>
      </c>
      <c r="AD39" s="180" t="s">
        <v>210</v>
      </c>
      <c r="AE39" s="182">
        <v>0</v>
      </c>
      <c r="AG39" s="27">
        <v>117250</v>
      </c>
      <c r="AH39" s="13">
        <v>0.24</v>
      </c>
      <c r="AI39" s="29">
        <v>15912</v>
      </c>
      <c r="AL39" s="17"/>
      <c r="AM39" s="27">
        <v>111732</v>
      </c>
      <c r="AN39" s="28">
        <v>8.7999999999999995E-2</v>
      </c>
      <c r="AO39" s="29">
        <v>4244.9399999999996</v>
      </c>
      <c r="AS39" s="27"/>
      <c r="AT39" s="28"/>
      <c r="AU39" s="29"/>
      <c r="AY39" s="27">
        <v>80650</v>
      </c>
      <c r="AZ39" s="28">
        <v>0.06</v>
      </c>
      <c r="BA39" s="29">
        <v>4271</v>
      </c>
      <c r="BE39" s="17"/>
    </row>
    <row r="40" spans="1:57" ht="15.95" customHeight="1" x14ac:dyDescent="0.25">
      <c r="A40" s="4" t="s">
        <v>211</v>
      </c>
      <c r="I40" s="57"/>
      <c r="J40" s="59">
        <f>J36+J37-J38-J39</f>
        <v>5000</v>
      </c>
      <c r="K40" s="58"/>
      <c r="M40" s="5"/>
      <c r="N40" s="13"/>
      <c r="V40" s="13"/>
      <c r="W40" s="13"/>
      <c r="Y40" s="171" t="s">
        <v>212</v>
      </c>
      <c r="Z40" s="166">
        <v>0.11</v>
      </c>
      <c r="AA40" s="172">
        <v>317</v>
      </c>
      <c r="AB40" s="173" t="s">
        <v>37</v>
      </c>
      <c r="AD40" s="183" t="s">
        <v>213</v>
      </c>
      <c r="AE40" s="184">
        <v>0</v>
      </c>
      <c r="AG40" s="27">
        <v>211200</v>
      </c>
      <c r="AH40" s="155">
        <v>0.32</v>
      </c>
      <c r="AI40" s="29">
        <v>38460</v>
      </c>
      <c r="AL40" s="17"/>
      <c r="AM40" s="27">
        <v>141212</v>
      </c>
      <c r="AN40" s="28">
        <v>0.1023</v>
      </c>
      <c r="AO40" s="29">
        <v>6839.18</v>
      </c>
      <c r="AS40" s="27"/>
      <c r="AT40" s="28"/>
      <c r="AU40" s="29"/>
      <c r="AY40" s="27">
        <v>96800</v>
      </c>
      <c r="AZ40" s="28">
        <v>6.6699999999999995E-2</v>
      </c>
      <c r="BA40" s="29">
        <v>5240</v>
      </c>
      <c r="BE40" s="17"/>
    </row>
    <row r="41" spans="1:57" ht="15.95" customHeight="1" x14ac:dyDescent="0.25">
      <c r="A41" s="4" t="s">
        <v>214</v>
      </c>
      <c r="M41" s="5"/>
      <c r="N41" s="13"/>
      <c r="V41" s="13"/>
      <c r="W41" s="13"/>
      <c r="Y41" s="171" t="s">
        <v>215</v>
      </c>
      <c r="Z41" s="166">
        <v>0.11</v>
      </c>
      <c r="AA41" s="172">
        <v>317</v>
      </c>
      <c r="AB41" s="173" t="s">
        <v>22</v>
      </c>
      <c r="AG41" s="27">
        <v>264400</v>
      </c>
      <c r="AH41" s="155">
        <v>0.35</v>
      </c>
      <c r="AI41" s="29">
        <v>55484</v>
      </c>
      <c r="AL41" s="17"/>
      <c r="AM41" s="27">
        <v>721318</v>
      </c>
      <c r="AN41" s="28">
        <v>0.1133</v>
      </c>
      <c r="AO41" s="29">
        <v>66184.02</v>
      </c>
      <c r="AS41" s="27"/>
      <c r="AT41" s="28"/>
      <c r="AU41" s="29"/>
      <c r="AY41" s="27">
        <v>107650</v>
      </c>
      <c r="AZ41" s="28">
        <v>7.17E-2</v>
      </c>
      <c r="BA41" s="29">
        <v>5963</v>
      </c>
      <c r="BE41" s="17"/>
    </row>
    <row r="42" spans="1:57" ht="15.95" customHeight="1" thickBot="1" x14ac:dyDescent="0.3">
      <c r="A42" s="4" t="s">
        <v>216</v>
      </c>
      <c r="C42" s="5"/>
      <c r="I42" s="64" t="s">
        <v>217</v>
      </c>
      <c r="J42" s="65"/>
      <c r="K42" s="66"/>
      <c r="M42" s="91" t="s">
        <v>218</v>
      </c>
      <c r="N42" s="62"/>
      <c r="O42" s="92"/>
      <c r="V42" s="13"/>
      <c r="W42" s="13"/>
      <c r="Y42" s="171" t="s">
        <v>219</v>
      </c>
      <c r="Z42" s="166">
        <v>0.11</v>
      </c>
      <c r="AA42" s="172">
        <v>317</v>
      </c>
      <c r="AB42" s="173" t="s">
        <v>22</v>
      </c>
      <c r="AG42" s="38">
        <v>640250</v>
      </c>
      <c r="AH42" s="156">
        <v>0.37</v>
      </c>
      <c r="AI42" s="40">
        <v>187031.5</v>
      </c>
      <c r="AL42" s="17"/>
      <c r="AM42" s="27">
        <v>865574</v>
      </c>
      <c r="AN42" s="28">
        <v>0.12429999999999999</v>
      </c>
      <c r="AO42" s="29">
        <v>82528.22</v>
      </c>
      <c r="AS42" s="27"/>
      <c r="AT42" s="28"/>
      <c r="AU42" s="29"/>
      <c r="AY42" s="27">
        <v>157650</v>
      </c>
      <c r="AZ42" s="28">
        <v>8.1100000000000005E-2</v>
      </c>
      <c r="BA42" s="29">
        <v>9546</v>
      </c>
      <c r="BE42" s="17"/>
    </row>
    <row r="43" spans="1:57" ht="15.95" customHeight="1" thickTop="1" x14ac:dyDescent="0.25">
      <c r="A43" s="4" t="s">
        <v>220</v>
      </c>
      <c r="C43" s="5"/>
      <c r="I43" s="67" t="s">
        <v>221</v>
      </c>
      <c r="J43" s="73">
        <f>SS_MED_SDI_TAX_GROSS</f>
        <v>5000</v>
      </c>
      <c r="K43" s="68"/>
      <c r="M43" s="67" t="s">
        <v>222</v>
      </c>
      <c r="N43" s="93" t="str">
        <f>STATE</f>
        <v>CA</v>
      </c>
      <c r="O43" s="68"/>
      <c r="V43" s="13"/>
      <c r="W43" s="13"/>
      <c r="Y43" s="171" t="s">
        <v>223</v>
      </c>
      <c r="Z43" s="166">
        <v>0.11</v>
      </c>
      <c r="AA43" s="172">
        <v>317</v>
      </c>
      <c r="AB43" s="173" t="s">
        <v>37</v>
      </c>
      <c r="AD43" s="96" t="s">
        <v>224</v>
      </c>
      <c r="AE43" s="98"/>
      <c r="AG43" s="76"/>
      <c r="AH43" s="76"/>
      <c r="AI43" s="76"/>
      <c r="AL43" s="17"/>
      <c r="AM43" s="27">
        <v>1000000</v>
      </c>
      <c r="AN43" s="28">
        <v>0.1353</v>
      </c>
      <c r="AO43" s="29">
        <v>99237.37</v>
      </c>
      <c r="AS43" s="27"/>
      <c r="AT43" s="28"/>
      <c r="AU43" s="29"/>
      <c r="AY43" s="27">
        <v>211550</v>
      </c>
      <c r="AZ43" s="28">
        <v>6.5000000000000002E-2</v>
      </c>
      <c r="BA43" s="29">
        <v>13919</v>
      </c>
      <c r="BE43" s="17"/>
    </row>
    <row r="44" spans="1:57" ht="15.95" customHeight="1" thickBot="1" x14ac:dyDescent="0.3">
      <c r="A44" s="4" t="s">
        <v>225</v>
      </c>
      <c r="I44" s="70" t="s">
        <v>226</v>
      </c>
      <c r="J44" s="74">
        <f>SS_RATE</f>
        <v>6.2E-2</v>
      </c>
      <c r="K44" s="71" t="s">
        <v>144</v>
      </c>
      <c r="M44" s="17" t="s">
        <v>108</v>
      </c>
      <c r="N44" s="4" t="str">
        <f>STATE_MARITAL_STATUS</f>
        <v>M</v>
      </c>
      <c r="O44" s="18"/>
      <c r="V44" s="13"/>
      <c r="W44" s="13"/>
      <c r="Y44" s="171" t="s">
        <v>227</v>
      </c>
      <c r="Z44" s="166">
        <v>0.105</v>
      </c>
      <c r="AA44" s="172">
        <v>0</v>
      </c>
      <c r="AB44" s="173" t="s">
        <v>22</v>
      </c>
      <c r="AD44" s="101" t="s">
        <v>43</v>
      </c>
      <c r="AE44" s="149" t="s">
        <v>24</v>
      </c>
      <c r="AL44" s="17"/>
      <c r="AM44" s="27">
        <v>1442628</v>
      </c>
      <c r="AN44" s="28">
        <v>0.14630000000000001</v>
      </c>
      <c r="AO44" s="29">
        <v>159124.94</v>
      </c>
      <c r="AS44" s="27"/>
      <c r="AT44" s="28"/>
      <c r="AU44" s="29"/>
      <c r="AY44" s="27">
        <v>323200</v>
      </c>
      <c r="AZ44" s="28">
        <v>0.12839999999999999</v>
      </c>
      <c r="BA44" s="29">
        <v>21177</v>
      </c>
      <c r="BE44" s="17"/>
    </row>
    <row r="45" spans="1:57" ht="15.95" customHeight="1" thickTop="1" x14ac:dyDescent="0.25">
      <c r="A45" s="5" t="s">
        <v>228</v>
      </c>
      <c r="I45" s="57" t="s">
        <v>229</v>
      </c>
      <c r="J45" s="69" t="str">
        <f>IF(SS_MED="SS","YES","NO")</f>
        <v>NO</v>
      </c>
      <c r="K45" s="58"/>
      <c r="M45" s="57" t="s">
        <v>230</v>
      </c>
      <c r="N45" s="22" t="str">
        <f>N43 &amp; "_TAX_TBL_ADDL_ALLOW"</f>
        <v>CA_TAX_TBL_ADDL_ALLOW</v>
      </c>
      <c r="O45" s="58"/>
      <c r="V45" s="13"/>
      <c r="W45" s="13"/>
      <c r="Y45" s="171" t="s">
        <v>231</v>
      </c>
      <c r="Z45" s="166">
        <v>0.11</v>
      </c>
      <c r="AA45" s="172">
        <v>317</v>
      </c>
      <c r="AB45" s="173" t="s">
        <v>22</v>
      </c>
      <c r="AD45" s="160" t="s">
        <v>232</v>
      </c>
      <c r="AE45" s="158">
        <f>OPEB_01</f>
        <v>0</v>
      </c>
      <c r="AG45" s="96" t="s">
        <v>233</v>
      </c>
      <c r="AH45" s="97"/>
      <c r="AI45" s="98"/>
      <c r="AL45" s="17"/>
      <c r="AM45" s="38">
        <v>9999999</v>
      </c>
      <c r="AN45" s="39">
        <v>0.14630000000000001</v>
      </c>
      <c r="AO45" s="40">
        <v>159124.94</v>
      </c>
      <c r="AS45" s="27"/>
      <c r="AT45" s="28"/>
      <c r="AU45" s="29"/>
      <c r="AY45" s="27">
        <v>373200</v>
      </c>
      <c r="AZ45" s="28">
        <v>7.3499999999999996E-2</v>
      </c>
      <c r="BA45" s="29">
        <v>27599</v>
      </c>
      <c r="BE45" s="17"/>
    </row>
    <row r="46" spans="1:57" ht="15.95" customHeight="1" thickBot="1" x14ac:dyDescent="0.3">
      <c r="A46" s="5"/>
      <c r="I46" s="57"/>
      <c r="J46" s="75">
        <f>IF(J45="YES",ROUND(SS_TAX_GROSS*J44,2),0)</f>
        <v>0</v>
      </c>
      <c r="K46" s="58"/>
      <c r="M46" s="17" t="s">
        <v>234</v>
      </c>
      <c r="N46" s="4">
        <f>STATE_EXEMPTIONS</f>
        <v>0</v>
      </c>
      <c r="O46" s="18"/>
      <c r="Y46" s="171" t="s">
        <v>235</v>
      </c>
      <c r="Z46" s="166">
        <v>0.105</v>
      </c>
      <c r="AA46" s="172">
        <v>317</v>
      </c>
      <c r="AB46" s="173" t="s">
        <v>37</v>
      </c>
      <c r="AD46" s="160" t="s">
        <v>236</v>
      </c>
      <c r="AE46" s="157">
        <f>OPEB_02</f>
        <v>0</v>
      </c>
      <c r="AG46" s="101" t="s">
        <v>95</v>
      </c>
      <c r="AH46" s="102" t="s">
        <v>96</v>
      </c>
      <c r="AI46" s="103" t="s">
        <v>97</v>
      </c>
      <c r="AL46" s="17"/>
      <c r="AS46" s="27"/>
      <c r="AT46" s="28"/>
      <c r="AU46" s="29"/>
      <c r="AY46" s="27">
        <v>1077550</v>
      </c>
      <c r="AZ46" s="28">
        <v>7.6499999999999999E-2</v>
      </c>
      <c r="BA46" s="29">
        <v>79368</v>
      </c>
      <c r="BE46" s="17"/>
    </row>
    <row r="47" spans="1:57" ht="15.95" customHeight="1" thickTop="1" x14ac:dyDescent="0.25">
      <c r="A47" s="5" t="s">
        <v>10</v>
      </c>
      <c r="C47" s="4" t="s">
        <v>10</v>
      </c>
      <c r="I47" s="76"/>
      <c r="J47" s="76"/>
      <c r="K47" s="76"/>
      <c r="M47" s="17" t="s">
        <v>237</v>
      </c>
      <c r="N47" s="4" t="str">
        <f>N43 &amp; "_TAX_TBL_LOW_INCOME"</f>
        <v>CA_TAX_TBL_LOW_INCOME</v>
      </c>
      <c r="O47" s="18"/>
      <c r="Y47" s="171" t="s">
        <v>238</v>
      </c>
      <c r="Z47" s="166">
        <v>0.11</v>
      </c>
      <c r="AA47" s="172">
        <v>317</v>
      </c>
      <c r="AB47" s="173" t="s">
        <v>37</v>
      </c>
      <c r="AD47" s="160" t="s">
        <v>239</v>
      </c>
      <c r="AE47" s="158">
        <f>OPEB_03</f>
        <v>0</v>
      </c>
      <c r="AG47" s="27">
        <v>-999999</v>
      </c>
      <c r="AH47" s="13">
        <v>0</v>
      </c>
      <c r="AI47" s="29">
        <v>0</v>
      </c>
      <c r="AL47" s="17"/>
      <c r="AS47" s="27"/>
      <c r="AT47" s="28"/>
      <c r="AU47" s="29"/>
      <c r="AY47" s="27">
        <v>2155350</v>
      </c>
      <c r="AZ47" s="28">
        <v>0.1045</v>
      </c>
      <c r="BA47" s="29">
        <v>0</v>
      </c>
      <c r="BE47" s="17"/>
    </row>
    <row r="48" spans="1:57" ht="15.95" customHeight="1" x14ac:dyDescent="0.25">
      <c r="A48" s="43" t="s">
        <v>240</v>
      </c>
      <c r="C48" s="4" t="s">
        <v>10</v>
      </c>
      <c r="I48" s="77"/>
      <c r="J48" s="77"/>
      <c r="K48" s="77"/>
      <c r="M48" s="57" t="s">
        <v>241</v>
      </c>
      <c r="N48" s="22">
        <f>IF(N44="S",1,IF(N44="M",IF(N46&lt;=1,2,3),IF(N44="H",4,"ERROR")))</f>
        <v>2</v>
      </c>
      <c r="O48" s="58"/>
      <c r="Y48" s="171" t="s">
        <v>242</v>
      </c>
      <c r="Z48" s="166">
        <v>0.11</v>
      </c>
      <c r="AA48" s="172">
        <v>317</v>
      </c>
      <c r="AB48" s="173" t="s">
        <v>22</v>
      </c>
      <c r="AD48" s="160" t="s">
        <v>243</v>
      </c>
      <c r="AE48" s="158">
        <f>OPEB_04</f>
        <v>0</v>
      </c>
      <c r="AG48" s="27">
        <v>7500</v>
      </c>
      <c r="AH48" s="13">
        <v>0.1</v>
      </c>
      <c r="AI48" s="29">
        <v>0</v>
      </c>
      <c r="AL48" s="17"/>
      <c r="AS48" s="27"/>
      <c r="AT48" s="28"/>
      <c r="AU48" s="29"/>
      <c r="AY48" s="27">
        <v>5000000</v>
      </c>
      <c r="AZ48" s="28">
        <v>0.111</v>
      </c>
      <c r="BA48" s="29">
        <v>0</v>
      </c>
      <c r="BE48" s="17"/>
    </row>
    <row r="49" spans="1:57" ht="15.95" customHeight="1" thickBot="1" x14ac:dyDescent="0.3">
      <c r="A49" s="43"/>
      <c r="I49" s="64" t="s">
        <v>244</v>
      </c>
      <c r="J49" s="65"/>
      <c r="K49" s="66"/>
      <c r="M49" s="17" t="s">
        <v>62</v>
      </c>
      <c r="N49" s="4" t="str">
        <f>N43 &amp; "_TAX_TBL_STD_DED"</f>
        <v>CA_TAX_TBL_STD_DED</v>
      </c>
      <c r="O49" s="18"/>
      <c r="Y49" s="171" t="s">
        <v>245</v>
      </c>
      <c r="Z49" s="166">
        <v>0.11</v>
      </c>
      <c r="AA49" s="172">
        <v>317</v>
      </c>
      <c r="AB49" s="173" t="s">
        <v>37</v>
      </c>
      <c r="AD49" s="160" t="s">
        <v>246</v>
      </c>
      <c r="AE49" s="157">
        <f>OPEB_05</f>
        <v>0</v>
      </c>
      <c r="AG49" s="27">
        <v>13462.5</v>
      </c>
      <c r="AH49" s="13">
        <v>0.12</v>
      </c>
      <c r="AI49" s="29">
        <v>596.25</v>
      </c>
      <c r="AL49" s="17"/>
      <c r="AS49" s="38"/>
      <c r="AT49" s="39"/>
      <c r="AU49" s="40"/>
      <c r="AY49" s="38">
        <v>25000000</v>
      </c>
      <c r="AZ49" s="39">
        <v>0.11700000000000001</v>
      </c>
      <c r="BA49" s="40">
        <v>0</v>
      </c>
      <c r="BE49" s="17"/>
    </row>
    <row r="50" spans="1:57" ht="15.95" customHeight="1" thickTop="1" x14ac:dyDescent="0.25">
      <c r="A50" s="43" t="s">
        <v>247</v>
      </c>
      <c r="I50" s="67" t="s">
        <v>248</v>
      </c>
      <c r="J50" s="73">
        <f>SS_MED_SDI_TAX_GROSS</f>
        <v>5000</v>
      </c>
      <c r="K50" s="68"/>
      <c r="M50" s="57" t="s">
        <v>71</v>
      </c>
      <c r="N50" s="22">
        <f>IF(N44="S",1,IF(N44="M",IF(N46&lt;=1,2,3),IF(N44="H",4,"ERROR")))</f>
        <v>2</v>
      </c>
      <c r="O50" s="58"/>
      <c r="Y50" s="171" t="s">
        <v>249</v>
      </c>
      <c r="Z50" s="166">
        <v>0.06</v>
      </c>
      <c r="AA50" s="172">
        <v>317</v>
      </c>
      <c r="AB50" s="173" t="s">
        <v>22</v>
      </c>
      <c r="AD50" s="160" t="s">
        <v>250</v>
      </c>
      <c r="AE50" s="158">
        <f>OPEB_06</f>
        <v>0.04</v>
      </c>
      <c r="AG50" s="27">
        <v>31737.5</v>
      </c>
      <c r="AH50" s="13">
        <v>0.22</v>
      </c>
      <c r="AI50" s="29">
        <v>2789.25</v>
      </c>
      <c r="AL50" s="17"/>
      <c r="AS50" s="5"/>
      <c r="AT50" s="5"/>
      <c r="AU50" s="5"/>
      <c r="AY50" s="20"/>
      <c r="AZ50" s="28"/>
      <c r="BA50" s="13"/>
      <c r="BE50" s="17"/>
    </row>
    <row r="51" spans="1:57" ht="15.95" customHeight="1" x14ac:dyDescent="0.25">
      <c r="I51" s="70" t="s">
        <v>251</v>
      </c>
      <c r="J51" s="74">
        <f>MED_RATE</f>
        <v>1.4500000000000001E-2</v>
      </c>
      <c r="K51" s="71" t="s">
        <v>144</v>
      </c>
      <c r="M51" s="17" t="s">
        <v>252</v>
      </c>
      <c r="N51" s="4" t="str">
        <f>N43 &amp; "_TAX_TBL_CREDIT"</f>
        <v>CA_TAX_TBL_CREDIT</v>
      </c>
      <c r="O51" s="18"/>
      <c r="Y51" s="171" t="s">
        <v>253</v>
      </c>
      <c r="Z51" s="166">
        <v>0.11</v>
      </c>
      <c r="AA51" s="172">
        <v>317</v>
      </c>
      <c r="AB51" s="173" t="s">
        <v>22</v>
      </c>
      <c r="AD51" s="160" t="s">
        <v>254</v>
      </c>
      <c r="AE51" s="158">
        <f>OPEB_07</f>
        <v>0</v>
      </c>
      <c r="AG51" s="27">
        <v>59175</v>
      </c>
      <c r="AH51" s="13">
        <v>0.24</v>
      </c>
      <c r="AI51" s="29">
        <v>8825.5</v>
      </c>
      <c r="AL51" s="17"/>
      <c r="AM51" s="96" t="s">
        <v>255</v>
      </c>
      <c r="AN51" s="97"/>
      <c r="AO51" s="98"/>
      <c r="AS51" s="96" t="s">
        <v>255</v>
      </c>
      <c r="AT51" s="97"/>
      <c r="AU51" s="98"/>
      <c r="AV51" s="80"/>
      <c r="AW51" s="80"/>
      <c r="AX51" s="80"/>
      <c r="AY51" s="96" t="s">
        <v>255</v>
      </c>
      <c r="AZ51" s="97"/>
      <c r="BA51" s="98"/>
      <c r="BE51" s="17"/>
    </row>
    <row r="52" spans="1:57" ht="15.95" customHeight="1" thickBot="1" x14ac:dyDescent="0.3">
      <c r="A52" s="44" t="s">
        <v>256</v>
      </c>
      <c r="I52" s="57" t="s">
        <v>229</v>
      </c>
      <c r="J52" s="69" t="str">
        <f>IF(OR(SS_MED="MED",SS_MED="SS"),"YES","NO")</f>
        <v>NO</v>
      </c>
      <c r="K52" s="58"/>
      <c r="M52" s="17" t="s">
        <v>257</v>
      </c>
      <c r="N52" s="4">
        <f>IF(N46&lt;3,N46,2)+2</f>
        <v>2</v>
      </c>
      <c r="O52" s="18"/>
      <c r="Y52" s="171" t="s">
        <v>258</v>
      </c>
      <c r="Z52" s="166">
        <v>0.11</v>
      </c>
      <c r="AA52" s="172">
        <v>317</v>
      </c>
      <c r="AB52" s="173" t="s">
        <v>37</v>
      </c>
      <c r="AD52" s="160" t="s">
        <v>259</v>
      </c>
      <c r="AE52" s="158">
        <f>OPEB_08</f>
        <v>0</v>
      </c>
      <c r="AG52" s="27">
        <v>106150</v>
      </c>
      <c r="AH52" s="155">
        <v>0.32</v>
      </c>
      <c r="AI52" s="29">
        <v>20099.5</v>
      </c>
      <c r="AL52" s="17"/>
      <c r="AM52" s="101" t="s">
        <v>95</v>
      </c>
      <c r="AN52" s="102" t="s">
        <v>96</v>
      </c>
      <c r="AO52" s="103" t="s">
        <v>97</v>
      </c>
      <c r="AS52" s="101" t="s">
        <v>95</v>
      </c>
      <c r="AT52" s="102" t="s">
        <v>96</v>
      </c>
      <c r="AU52" s="103" t="s">
        <v>97</v>
      </c>
      <c r="AV52" s="80"/>
      <c r="AW52" s="80"/>
      <c r="AX52" s="80"/>
      <c r="AY52" s="101" t="s">
        <v>95</v>
      </c>
      <c r="AZ52" s="102" t="s">
        <v>96</v>
      </c>
      <c r="BA52" s="103" t="s">
        <v>97</v>
      </c>
      <c r="BE52" s="17"/>
    </row>
    <row r="53" spans="1:57" ht="15.95" customHeight="1" thickTop="1" x14ac:dyDescent="0.25">
      <c r="A53" s="5" t="s">
        <v>260</v>
      </c>
      <c r="C53" s="4" t="s">
        <v>10</v>
      </c>
      <c r="I53" s="57"/>
      <c r="J53" s="75">
        <f>IF(J52="YES",ROUND(MED_TAX_GROSS*J51,2),0)</f>
        <v>0</v>
      </c>
      <c r="K53" s="58"/>
      <c r="M53" s="57" t="s">
        <v>261</v>
      </c>
      <c r="N53" s="22">
        <v>5</v>
      </c>
      <c r="O53" s="58"/>
      <c r="Y53" s="171" t="s">
        <v>262</v>
      </c>
      <c r="Z53" s="166">
        <v>0.11</v>
      </c>
      <c r="AA53" s="172">
        <v>317</v>
      </c>
      <c r="AB53" s="173" t="s">
        <v>22</v>
      </c>
      <c r="AD53" s="160" t="s">
        <v>263</v>
      </c>
      <c r="AE53" s="158">
        <f>OPEB_09</f>
        <v>0</v>
      </c>
      <c r="AG53" s="27">
        <v>132762.5</v>
      </c>
      <c r="AH53" s="155">
        <v>0.35</v>
      </c>
      <c r="AI53" s="29">
        <v>28615.5</v>
      </c>
      <c r="AL53" s="17"/>
      <c r="AM53" s="23">
        <v>0</v>
      </c>
      <c r="AN53" s="24">
        <v>1.0999999999999999E-2</v>
      </c>
      <c r="AO53" s="25">
        <v>0</v>
      </c>
      <c r="AS53" s="81" t="s">
        <v>264</v>
      </c>
      <c r="AT53" s="24"/>
      <c r="AU53" s="25"/>
      <c r="AY53" s="81" t="s">
        <v>264</v>
      </c>
      <c r="AZ53" s="24"/>
      <c r="BA53" s="25"/>
      <c r="BE53" s="17"/>
    </row>
    <row r="54" spans="1:57" ht="15.95" customHeight="1" x14ac:dyDescent="0.25">
      <c r="A54" s="5"/>
      <c r="I54" s="76"/>
      <c r="J54" s="76"/>
      <c r="K54" s="76"/>
      <c r="M54" s="57" t="s">
        <v>265</v>
      </c>
      <c r="N54" s="22" t="str">
        <f>N43 &amp; "_TAX_TBL_" &amp; N44</f>
        <v>CA_TAX_TBL_M</v>
      </c>
      <c r="O54" s="58"/>
      <c r="P54" s="9"/>
      <c r="Y54" s="171" t="s">
        <v>266</v>
      </c>
      <c r="Z54" s="166">
        <v>0.13500000000000001</v>
      </c>
      <c r="AA54" s="172">
        <v>317</v>
      </c>
      <c r="AB54" s="173" t="s">
        <v>37</v>
      </c>
      <c r="AD54" s="160" t="s">
        <v>267</v>
      </c>
      <c r="AE54" s="158">
        <f>OPEB_10</f>
        <v>0</v>
      </c>
      <c r="AG54" s="38">
        <v>320675</v>
      </c>
      <c r="AH54" s="156">
        <v>0.37</v>
      </c>
      <c r="AI54" s="40">
        <v>94384.875</v>
      </c>
      <c r="AL54" s="17"/>
      <c r="AM54" s="27">
        <v>21527</v>
      </c>
      <c r="AN54" s="28">
        <v>2.1999999999999999E-2</v>
      </c>
      <c r="AO54" s="29">
        <v>236.8</v>
      </c>
      <c r="AS54" s="27"/>
      <c r="AT54" s="28"/>
      <c r="AU54" s="29"/>
      <c r="AY54" s="27"/>
      <c r="AZ54" s="28"/>
      <c r="BA54" s="29"/>
      <c r="BE54" s="17"/>
    </row>
    <row r="55" spans="1:57" ht="15.95" customHeight="1" x14ac:dyDescent="0.25">
      <c r="A55" s="5" t="s">
        <v>268</v>
      </c>
      <c r="I55" s="77"/>
      <c r="J55" s="77"/>
      <c r="K55" s="77"/>
      <c r="P55" s="9"/>
      <c r="Y55" s="171" t="s">
        <v>269</v>
      </c>
      <c r="Z55" s="166">
        <v>0.13500000000000001</v>
      </c>
      <c r="AA55" s="172">
        <v>317</v>
      </c>
      <c r="AB55" s="173" t="s">
        <v>22</v>
      </c>
      <c r="AD55" s="160" t="s">
        <v>270</v>
      </c>
      <c r="AE55" s="158">
        <f>OPEB_11</f>
        <v>0</v>
      </c>
      <c r="AL55" s="17"/>
      <c r="AM55" s="27">
        <v>51000</v>
      </c>
      <c r="AN55" s="28">
        <v>4.3999999999999997E-2</v>
      </c>
      <c r="AO55" s="29">
        <v>885.21</v>
      </c>
      <c r="AS55" s="27"/>
      <c r="AT55" s="28"/>
      <c r="AU55" s="29"/>
      <c r="AY55" s="27"/>
      <c r="AZ55" s="28"/>
      <c r="BA55" s="29"/>
      <c r="BE55" s="17"/>
    </row>
    <row r="56" spans="1:57" ht="15.95" customHeight="1" thickBot="1" x14ac:dyDescent="0.3">
      <c r="A56" s="5"/>
      <c r="I56" s="64" t="s">
        <v>271</v>
      </c>
      <c r="J56" s="65"/>
      <c r="K56" s="66"/>
      <c r="N56" s="109">
        <v>1</v>
      </c>
      <c r="O56" s="110">
        <v>2</v>
      </c>
      <c r="P56" s="110">
        <v>3</v>
      </c>
      <c r="Q56" s="110">
        <v>4</v>
      </c>
      <c r="R56" s="110">
        <v>5</v>
      </c>
      <c r="S56" s="111">
        <v>6</v>
      </c>
      <c r="Y56" s="174" t="s">
        <v>158</v>
      </c>
      <c r="Z56" s="166">
        <v>0.1</v>
      </c>
      <c r="AA56" s="172">
        <v>317</v>
      </c>
      <c r="AB56" s="173" t="s">
        <v>22</v>
      </c>
      <c r="AD56" s="160" t="s">
        <v>272</v>
      </c>
      <c r="AE56" s="157">
        <f>OPEB_12</f>
        <v>0</v>
      </c>
      <c r="AG56" s="96" t="s">
        <v>273</v>
      </c>
      <c r="AH56" s="97"/>
      <c r="AI56" s="98"/>
      <c r="AL56" s="17"/>
      <c r="AM56" s="27">
        <v>65744</v>
      </c>
      <c r="AN56" s="28">
        <v>6.6000000000000003E-2</v>
      </c>
      <c r="AO56" s="29">
        <v>1533.95</v>
      </c>
      <c r="AS56" s="27"/>
      <c r="AT56" s="28"/>
      <c r="AU56" s="29"/>
      <c r="AY56" s="27"/>
      <c r="AZ56" s="28"/>
      <c r="BA56" s="29"/>
      <c r="BE56" s="17"/>
    </row>
    <row r="57" spans="1:57" ht="15.95" customHeight="1" thickTop="1" thickBot="1" x14ac:dyDescent="0.3">
      <c r="A57" s="45" t="s">
        <v>274</v>
      </c>
      <c r="I57" s="67" t="s">
        <v>275</v>
      </c>
      <c r="J57" s="73">
        <f>SS_MED_SDI_TAX_GROSS</f>
        <v>5000</v>
      </c>
      <c r="K57" s="68"/>
      <c r="M57" s="4" t="s">
        <v>120</v>
      </c>
      <c r="N57" s="124">
        <f>(GROSS-Total_AR_Ded-RET_WH+FLEX_CASH-Total_Flex-OPEB_WH-DEF_COMP1)</f>
        <v>4484.87</v>
      </c>
      <c r="O57" s="125">
        <f>(GROSS-Total_AR_Ded-RET_WH+FLEX_CASH-Total_Flex-OPEB_WH-DEF_COMP2)</f>
        <v>4384.87</v>
      </c>
      <c r="P57" s="125">
        <f>(GROSS-Total_AR_Ded-RET_WH+FLEX_CASH-Total_Flex-OPEB_WH-DEF_COMP3)</f>
        <v>4284.87</v>
      </c>
      <c r="Q57" s="125">
        <f>(GROSS-Total_AR_Ded-RET_WH+FLEX_CASH-Total_Flex-OPEB_WH-DEF_COMP4)</f>
        <v>4184.87</v>
      </c>
      <c r="R57" s="125">
        <f>(GROSS-Total_AR_Ded-RET_WH+FLEX_CASH-Total_Flex-OPEB_WH-DEF_COMP5)</f>
        <v>4084.87</v>
      </c>
      <c r="S57" s="126">
        <f>(GROSS-Total_AR_Ded-RET_WH+FLEX_CASH-Total_Flex-OPEB_WH-DEF_COMP6)</f>
        <v>3984.87</v>
      </c>
      <c r="Y57" s="174" t="s">
        <v>162</v>
      </c>
      <c r="Z57" s="166">
        <v>0</v>
      </c>
      <c r="AA57" s="172">
        <v>0</v>
      </c>
      <c r="AB57" s="173" t="s">
        <v>22</v>
      </c>
      <c r="AD57" s="160" t="s">
        <v>276</v>
      </c>
      <c r="AE57" s="157">
        <f>OPEB_13</f>
        <v>0</v>
      </c>
      <c r="AG57" s="101" t="s">
        <v>95</v>
      </c>
      <c r="AH57" s="102" t="s">
        <v>96</v>
      </c>
      <c r="AI57" s="103" t="s">
        <v>97</v>
      </c>
      <c r="AL57" s="17"/>
      <c r="AM57" s="27">
        <v>81364</v>
      </c>
      <c r="AN57" s="28">
        <v>8.7999999999999995E-2</v>
      </c>
      <c r="AO57" s="29">
        <v>2564.87</v>
      </c>
      <c r="AS57" s="27"/>
      <c r="AT57" s="28"/>
      <c r="AU57" s="29"/>
      <c r="AY57" s="27"/>
      <c r="AZ57" s="28"/>
      <c r="BA57" s="29"/>
      <c r="BE57" s="17"/>
    </row>
    <row r="58" spans="1:57" ht="15.95" customHeight="1" thickTop="1" x14ac:dyDescent="0.25">
      <c r="A58" s="45"/>
      <c r="I58" s="70" t="s">
        <v>277</v>
      </c>
      <c r="J58" s="74">
        <f>SDI_RATE</f>
        <v>1.2E-2</v>
      </c>
      <c r="K58" s="71" t="s">
        <v>144</v>
      </c>
      <c r="M58" s="5" t="s">
        <v>126</v>
      </c>
      <c r="N58" s="127">
        <f t="shared" ref="N58:S58" si="10">N57*PAY_FACTOR</f>
        <v>53818.44</v>
      </c>
      <c r="O58" s="128">
        <f t="shared" si="10"/>
        <v>52618.44</v>
      </c>
      <c r="P58" s="128">
        <f t="shared" si="10"/>
        <v>51418.44</v>
      </c>
      <c r="Q58" s="128">
        <f t="shared" si="10"/>
        <v>50218.44</v>
      </c>
      <c r="R58" s="128">
        <f t="shared" si="10"/>
        <v>49018.44</v>
      </c>
      <c r="S58" s="129">
        <f t="shared" si="10"/>
        <v>47818.44</v>
      </c>
      <c r="Y58" s="174" t="s">
        <v>278</v>
      </c>
      <c r="Z58" s="166">
        <v>0</v>
      </c>
      <c r="AA58" s="172">
        <v>0</v>
      </c>
      <c r="AB58" s="173" t="s">
        <v>22</v>
      </c>
      <c r="AD58" s="160" t="s">
        <v>279</v>
      </c>
      <c r="AE58" s="158">
        <f>OPEB_14</f>
        <v>0</v>
      </c>
      <c r="AG58" s="27">
        <v>-999999</v>
      </c>
      <c r="AH58" s="13">
        <v>0</v>
      </c>
      <c r="AI58" s="29">
        <v>0</v>
      </c>
      <c r="AL58" s="17"/>
      <c r="AM58" s="27">
        <v>96107</v>
      </c>
      <c r="AN58" s="28">
        <v>0.1023</v>
      </c>
      <c r="AO58" s="29">
        <v>3862.25</v>
      </c>
      <c r="AS58" s="27"/>
      <c r="AT58" s="28"/>
      <c r="AU58" s="29"/>
      <c r="AY58" s="27"/>
      <c r="AZ58" s="28"/>
      <c r="BA58" s="29"/>
      <c r="BE58" s="17"/>
    </row>
    <row r="59" spans="1:57" ht="15.95" customHeight="1" x14ac:dyDescent="0.25">
      <c r="A59" s="45" t="s">
        <v>280</v>
      </c>
      <c r="I59" s="57" t="s">
        <v>229</v>
      </c>
      <c r="J59" s="69" t="str">
        <f>IF(SDI="Yes","YES","NO")</f>
        <v>YES</v>
      </c>
      <c r="K59" s="58"/>
      <c r="M59" s="4" t="s">
        <v>134</v>
      </c>
      <c r="N59" s="124">
        <f t="shared" ref="N59:S59" ca="1" si="11">MAX(0,N58-STATE_ADDTL_ALLOWANCE-STATE_STD_DED)</f>
        <v>48278.44</v>
      </c>
      <c r="O59" s="125">
        <f t="shared" ca="1" si="11"/>
        <v>47078.44</v>
      </c>
      <c r="P59" s="125">
        <f t="shared" ca="1" si="11"/>
        <v>45878.44</v>
      </c>
      <c r="Q59" s="125">
        <f t="shared" ca="1" si="11"/>
        <v>44678.44</v>
      </c>
      <c r="R59" s="125">
        <f t="shared" ca="1" si="11"/>
        <v>43478.44</v>
      </c>
      <c r="S59" s="126">
        <f t="shared" ca="1" si="11"/>
        <v>42278.44</v>
      </c>
      <c r="Y59" s="174" t="s">
        <v>281</v>
      </c>
      <c r="Z59" s="166">
        <v>0.06</v>
      </c>
      <c r="AA59" s="172">
        <v>317</v>
      </c>
      <c r="AB59" s="173" t="s">
        <v>22</v>
      </c>
      <c r="AD59" s="160" t="s">
        <v>282</v>
      </c>
      <c r="AE59" s="158">
        <f>OPEB_15</f>
        <v>0</v>
      </c>
      <c r="AG59" s="27">
        <v>15000</v>
      </c>
      <c r="AH59" s="13">
        <v>0.1</v>
      </c>
      <c r="AI59" s="29">
        <v>0</v>
      </c>
      <c r="AL59" s="17"/>
      <c r="AM59" s="27">
        <v>490493</v>
      </c>
      <c r="AN59" s="28">
        <v>0.1133</v>
      </c>
      <c r="AO59" s="29">
        <v>44207.94</v>
      </c>
      <c r="AS59" s="27"/>
      <c r="AT59" s="28"/>
      <c r="AU59" s="29"/>
      <c r="AY59" s="27"/>
      <c r="AZ59" s="28"/>
      <c r="BA59" s="29"/>
      <c r="BE59" s="17"/>
    </row>
    <row r="60" spans="1:57" ht="15.95" customHeight="1" x14ac:dyDescent="0.25">
      <c r="A60" s="5"/>
      <c r="I60" s="57"/>
      <c r="J60" s="75">
        <f>IF(J59="YES",ROUND(J57*J58,2),0)</f>
        <v>60</v>
      </c>
      <c r="K60" s="58"/>
      <c r="M60" s="67" t="s">
        <v>139</v>
      </c>
      <c r="N60" s="130">
        <f ca="1">VLOOKUP(_STG1,INDIRECT(N54),1)</f>
        <v>21512</v>
      </c>
      <c r="O60" s="131">
        <f ca="1">VLOOKUP(O59,INDIRECT(N54),1)</f>
        <v>21512</v>
      </c>
      <c r="P60" s="131">
        <f ca="1">VLOOKUP(P59,INDIRECT(N54),1)</f>
        <v>21512</v>
      </c>
      <c r="Q60" s="131">
        <f ca="1">VLOOKUP(Q59,INDIRECT(N54),1)</f>
        <v>21512</v>
      </c>
      <c r="R60" s="131">
        <f ca="1">VLOOKUP(R59,INDIRECT(N54),1)</f>
        <v>21512</v>
      </c>
      <c r="S60" s="132">
        <f ca="1">VLOOKUP(S59,INDIRECT(N54),1)</f>
        <v>21512</v>
      </c>
      <c r="Y60" s="174" t="s">
        <v>283</v>
      </c>
      <c r="Z60" s="166">
        <v>0.08</v>
      </c>
      <c r="AA60" s="172">
        <v>513</v>
      </c>
      <c r="AB60" s="173" t="s">
        <v>13</v>
      </c>
      <c r="AD60" s="160" t="s">
        <v>284</v>
      </c>
      <c r="AE60" s="158">
        <f>OPEB_16</f>
        <v>1.4E-2</v>
      </c>
      <c r="AG60" s="27">
        <v>26925</v>
      </c>
      <c r="AH60" s="13">
        <v>0.12</v>
      </c>
      <c r="AI60" s="29">
        <v>1192.5</v>
      </c>
      <c r="AL60" s="17"/>
      <c r="AM60" s="27">
        <v>588593</v>
      </c>
      <c r="AN60" s="28">
        <v>0.12429999999999999</v>
      </c>
      <c r="AO60" s="29">
        <v>55322.67</v>
      </c>
      <c r="AS60" s="27"/>
      <c r="AT60" s="28"/>
      <c r="AU60" s="29"/>
      <c r="AY60" s="27"/>
      <c r="AZ60" s="28"/>
      <c r="BA60" s="29"/>
      <c r="BE60" s="17"/>
    </row>
    <row r="61" spans="1:57" ht="15.95" customHeight="1" x14ac:dyDescent="0.25">
      <c r="A61" s="43" t="s">
        <v>285</v>
      </c>
      <c r="M61" s="17" t="s">
        <v>145</v>
      </c>
      <c r="N61" s="124">
        <f ca="1">VLOOKUP(_STG1,INDIRECT(N54),2)</f>
        <v>2.1999999999999999E-2</v>
      </c>
      <c r="O61" s="125">
        <f ca="1">VLOOKUP(O59,INDIRECT(N54),2)</f>
        <v>2.1999999999999999E-2</v>
      </c>
      <c r="P61" s="125">
        <f ca="1">VLOOKUP(P59,INDIRECT(N54),2)</f>
        <v>2.1999999999999999E-2</v>
      </c>
      <c r="Q61" s="125">
        <f ca="1">VLOOKUP(Q59,INDIRECT(N54),2)</f>
        <v>2.1999999999999999E-2</v>
      </c>
      <c r="R61" s="125">
        <f ca="1">VLOOKUP(R59,INDIRECT(N54),2)</f>
        <v>2.1999999999999999E-2</v>
      </c>
      <c r="S61" s="133">
        <f ca="1">VLOOKUP(S59,INDIRECT(N54),2)</f>
        <v>2.1999999999999999E-2</v>
      </c>
      <c r="Y61" s="174" t="s">
        <v>286</v>
      </c>
      <c r="Z61" s="166">
        <v>0.125</v>
      </c>
      <c r="AA61" s="172">
        <v>513</v>
      </c>
      <c r="AB61" s="173" t="s">
        <v>13</v>
      </c>
      <c r="AD61" s="160" t="s">
        <v>287</v>
      </c>
      <c r="AE61" s="158">
        <f>OPEB_17</f>
        <v>0</v>
      </c>
      <c r="AG61" s="27">
        <v>63475</v>
      </c>
      <c r="AH61" s="13">
        <v>0.22</v>
      </c>
      <c r="AI61" s="29">
        <v>5578.5</v>
      </c>
      <c r="AL61" s="17"/>
      <c r="AM61" s="27">
        <v>980987</v>
      </c>
      <c r="AN61" s="28">
        <v>0.1353</v>
      </c>
      <c r="AO61" s="29">
        <v>104097.24</v>
      </c>
      <c r="AS61" s="27"/>
      <c r="AT61" s="28"/>
      <c r="AU61" s="29"/>
      <c r="AY61" s="27"/>
      <c r="AZ61" s="28"/>
      <c r="BA61" s="29"/>
      <c r="BE61" s="17"/>
    </row>
    <row r="62" spans="1:57" ht="15.95" customHeight="1" x14ac:dyDescent="0.25">
      <c r="A62" s="4" t="s">
        <v>288</v>
      </c>
      <c r="M62" s="57" t="s">
        <v>149</v>
      </c>
      <c r="N62" s="121">
        <f ca="1">VLOOKUP(_STG1,INDIRECT(N54),3)</f>
        <v>236.63</v>
      </c>
      <c r="O62" s="122">
        <f ca="1">VLOOKUP(O59,INDIRECT(N54),3)</f>
        <v>236.63</v>
      </c>
      <c r="P62" s="122">
        <f ca="1">VLOOKUP(P59,INDIRECT(N54),3)</f>
        <v>236.63</v>
      </c>
      <c r="Q62" s="122">
        <f ca="1">VLOOKUP(Q59,INDIRECT(N54),3)</f>
        <v>236.63</v>
      </c>
      <c r="R62" s="122">
        <f ca="1">VLOOKUP(R59,INDIRECT(N54),3)</f>
        <v>236.63</v>
      </c>
      <c r="S62" s="123">
        <f ca="1">VLOOKUP(S59,INDIRECT(N54),3)</f>
        <v>236.63</v>
      </c>
      <c r="Y62" s="174" t="s">
        <v>289</v>
      </c>
      <c r="Z62" s="166">
        <v>0.08</v>
      </c>
      <c r="AA62" s="172">
        <v>513</v>
      </c>
      <c r="AB62" s="173" t="s">
        <v>13</v>
      </c>
      <c r="AD62" s="160" t="s">
        <v>290</v>
      </c>
      <c r="AE62" s="158">
        <f>OPEB_18</f>
        <v>0</v>
      </c>
      <c r="AG62" s="27">
        <v>118350</v>
      </c>
      <c r="AH62" s="13">
        <v>0.24</v>
      </c>
      <c r="AI62" s="29">
        <v>17651</v>
      </c>
      <c r="AL62" s="17"/>
      <c r="AM62" s="27">
        <v>1000000</v>
      </c>
      <c r="AN62" s="28">
        <v>0.14630000000000001</v>
      </c>
      <c r="AO62" s="29">
        <v>106669.7</v>
      </c>
      <c r="AS62" s="27"/>
      <c r="AT62" s="28"/>
      <c r="AU62" s="29"/>
      <c r="AY62" s="27"/>
      <c r="AZ62" s="28"/>
      <c r="BA62" s="29"/>
      <c r="BE62" s="17"/>
    </row>
    <row r="63" spans="1:57" ht="15.95" customHeight="1" x14ac:dyDescent="0.25">
      <c r="A63" s="4" t="s">
        <v>291</v>
      </c>
      <c r="M63" s="5" t="s">
        <v>154</v>
      </c>
      <c r="N63" s="124">
        <f ca="1">(_STG1-SBSA1)</f>
        <v>26766.440000000002</v>
      </c>
      <c r="O63" s="125">
        <f ca="1">(O59-O60)</f>
        <v>25566.440000000002</v>
      </c>
      <c r="P63" s="125">
        <f t="shared" ref="P63:S63" ca="1" si="12">(P59-P60)</f>
        <v>24366.440000000002</v>
      </c>
      <c r="Q63" s="125">
        <f t="shared" ca="1" si="12"/>
        <v>23166.440000000002</v>
      </c>
      <c r="R63" s="125">
        <f t="shared" ca="1" si="12"/>
        <v>21966.440000000002</v>
      </c>
      <c r="S63" s="126">
        <f t="shared" ca="1" si="12"/>
        <v>20766.440000000002</v>
      </c>
      <c r="Y63" s="171" t="s">
        <v>31</v>
      </c>
      <c r="Z63" s="166">
        <v>0.11</v>
      </c>
      <c r="AA63" s="172">
        <v>317</v>
      </c>
      <c r="AB63" s="173" t="s">
        <v>37</v>
      </c>
      <c r="AD63" s="160" t="s">
        <v>292</v>
      </c>
      <c r="AE63" s="158">
        <f>OPEB_19</f>
        <v>0</v>
      </c>
      <c r="AG63" s="27">
        <v>212300</v>
      </c>
      <c r="AH63" s="13">
        <v>0.32</v>
      </c>
      <c r="AI63" s="29">
        <v>40199</v>
      </c>
      <c r="AL63" s="17"/>
      <c r="AM63" s="38">
        <v>9999999</v>
      </c>
      <c r="AN63" s="39">
        <v>0.14630000000000001</v>
      </c>
      <c r="AO63" s="40">
        <v>106669.7</v>
      </c>
      <c r="AS63" s="38"/>
      <c r="AT63" s="39"/>
      <c r="AU63" s="40"/>
      <c r="AY63" s="38"/>
      <c r="AZ63" s="39"/>
      <c r="BA63" s="40"/>
      <c r="BE63" s="17"/>
    </row>
    <row r="64" spans="1:57" ht="15.95" customHeight="1" x14ac:dyDescent="0.25">
      <c r="A64" s="4" t="s">
        <v>293</v>
      </c>
      <c r="M64" s="4" t="s">
        <v>157</v>
      </c>
      <c r="N64" s="124">
        <f ca="1">(SBST1+ROUND(SOVR1*SMTR1,5))</f>
        <v>825.49167999999997</v>
      </c>
      <c r="O64" s="128">
        <f ca="1">(O62+ROUND(O63*O61,5))</f>
        <v>799.09168</v>
      </c>
      <c r="P64" s="128">
        <f t="shared" ref="P64:S64" ca="1" si="13">(P62+ROUND(P63*P61,5))</f>
        <v>772.69168000000002</v>
      </c>
      <c r="Q64" s="128">
        <f t="shared" ca="1" si="13"/>
        <v>746.29168000000004</v>
      </c>
      <c r="R64" s="128">
        <f t="shared" ca="1" si="13"/>
        <v>719.89167999999995</v>
      </c>
      <c r="S64" s="129">
        <f t="shared" ca="1" si="13"/>
        <v>693.49167999999997</v>
      </c>
      <c r="Y64" s="171" t="s">
        <v>294</v>
      </c>
      <c r="Z64" s="166">
        <v>0.11</v>
      </c>
      <c r="AA64" s="172">
        <v>317</v>
      </c>
      <c r="AB64" s="173" t="s">
        <v>22</v>
      </c>
      <c r="AD64" s="160" t="s">
        <v>295</v>
      </c>
      <c r="AE64" s="158">
        <f>OPEB_20</f>
        <v>0</v>
      </c>
      <c r="AG64" s="27">
        <v>265525</v>
      </c>
      <c r="AH64" s="155">
        <v>0.35</v>
      </c>
      <c r="AI64" s="29">
        <v>57231</v>
      </c>
      <c r="AL64" s="17"/>
      <c r="AS64" s="20"/>
      <c r="AT64" s="28"/>
      <c r="AU64" s="13"/>
      <c r="AY64" s="20"/>
      <c r="AZ64" s="28"/>
      <c r="BA64" s="13"/>
      <c r="BE64" s="17"/>
    </row>
    <row r="65" spans="1:57" ht="15.95" customHeight="1" thickBot="1" x14ac:dyDescent="0.3">
      <c r="A65" s="42" t="s">
        <v>296</v>
      </c>
      <c r="M65" s="4" t="s">
        <v>161</v>
      </c>
      <c r="N65" s="124">
        <f ca="1">IF(N58&lt;=STATE_LOW_INC_EXEMPT, 0, MAX(0, ROUND((_STA1-TXCREDIT)/PAY_FACTOR,2)))</f>
        <v>68.790000000000006</v>
      </c>
      <c r="O65" s="125">
        <f ca="1">IF(O58&lt;=STATE_LOW_INC_EXEMPT, 0, MAX(0, ROUND((O64-TXCREDIT)/PAY_FACTOR,2)))</f>
        <v>66.59</v>
      </c>
      <c r="P65" s="125">
        <f ca="1">IF(P58&lt;=STATE_LOW_INC_EXEMPT, 0, MAX(0, ROUND((P64-TXCREDIT)/PAY_FACTOR,2)))</f>
        <v>64.39</v>
      </c>
      <c r="Q65" s="125">
        <f ca="1">IF(Q58&lt;=STATE_LOW_INC_EXEMPT, 0, MAX(0, ROUND((Q64-TXCREDIT)/PAY_FACTOR,2)))</f>
        <v>62.19</v>
      </c>
      <c r="R65" s="125">
        <f ca="1">IF(R58&lt;=STATE_LOW_INC_EXEMPT, 0, MAX(0, ROUND((R64-TXCREDIT)/PAY_FACTOR,2)))</f>
        <v>59.99</v>
      </c>
      <c r="S65" s="126">
        <f ca="1">IF(S58&lt;=STATE_LOW_INC_EXEMPT, 0, MAX(0, ROUND((S64-TXCREDIT)/PAY_FACTOR,2)))</f>
        <v>57.79</v>
      </c>
      <c r="Y65" s="171" t="s">
        <v>297</v>
      </c>
      <c r="Z65" s="166">
        <v>0.1</v>
      </c>
      <c r="AA65" s="172">
        <v>513</v>
      </c>
      <c r="AB65" s="173" t="s">
        <v>13</v>
      </c>
      <c r="AD65" s="160" t="s">
        <v>298</v>
      </c>
      <c r="AE65" s="158">
        <f>OPEB_21</f>
        <v>0</v>
      </c>
      <c r="AG65" s="38">
        <v>390800</v>
      </c>
      <c r="AH65" s="156">
        <v>0.37</v>
      </c>
      <c r="AI65" s="40">
        <v>101077.25</v>
      </c>
      <c r="AL65" s="17"/>
      <c r="AM65" s="46" t="s">
        <v>299</v>
      </c>
      <c r="AN65" s="47"/>
      <c r="AO65" s="47"/>
      <c r="AP65" s="47"/>
      <c r="AQ65" s="48"/>
      <c r="AS65" s="46" t="s">
        <v>299</v>
      </c>
      <c r="AT65" s="47"/>
      <c r="AU65" s="47"/>
      <c r="AV65" s="47"/>
      <c r="AW65" s="48"/>
      <c r="AY65" s="46" t="s">
        <v>299</v>
      </c>
      <c r="AZ65" s="47"/>
      <c r="BA65" s="47"/>
      <c r="BB65" s="47"/>
      <c r="BC65" s="48"/>
      <c r="BE65" s="17"/>
    </row>
    <row r="66" spans="1:57" ht="15.95" customHeight="1" thickTop="1" x14ac:dyDescent="0.25">
      <c r="A66" s="4" t="s">
        <v>300</v>
      </c>
      <c r="P66" s="13"/>
      <c r="Q66" s="5"/>
      <c r="Y66" s="171" t="s">
        <v>301</v>
      </c>
      <c r="Z66" s="166">
        <v>0.1</v>
      </c>
      <c r="AA66" s="172">
        <v>513</v>
      </c>
      <c r="AB66" s="173" t="s">
        <v>13</v>
      </c>
      <c r="AD66" s="160" t="s">
        <v>302</v>
      </c>
      <c r="AE66" s="158">
        <f>OPEB_01</f>
        <v>0</v>
      </c>
      <c r="AG66" s="13"/>
      <c r="AH66" s="13"/>
      <c r="AI66" s="13"/>
      <c r="AL66" s="17"/>
      <c r="AM66" s="49" t="s">
        <v>303</v>
      </c>
      <c r="AN66" s="3" t="s">
        <v>304</v>
      </c>
      <c r="AO66" s="3"/>
      <c r="AP66" s="3"/>
      <c r="AQ66" s="50"/>
      <c r="AS66" s="49" t="s">
        <v>303</v>
      </c>
      <c r="AT66" s="3" t="s">
        <v>304</v>
      </c>
      <c r="AU66" s="3"/>
      <c r="AV66" s="3"/>
      <c r="AW66" s="50"/>
      <c r="AY66" s="49" t="s">
        <v>303</v>
      </c>
      <c r="AZ66" s="3" t="s">
        <v>304</v>
      </c>
      <c r="BA66" s="3"/>
      <c r="BB66" s="3"/>
      <c r="BC66" s="50"/>
      <c r="BE66" s="17"/>
    </row>
    <row r="67" spans="1:57" ht="15.95" customHeight="1" x14ac:dyDescent="0.25">
      <c r="A67" s="4" t="s">
        <v>305</v>
      </c>
      <c r="P67" s="13"/>
      <c r="Q67" s="5"/>
      <c r="Y67" s="171" t="s">
        <v>306</v>
      </c>
      <c r="Z67" s="166">
        <v>9.5000000000000001E-2</v>
      </c>
      <c r="AA67" s="172">
        <v>513</v>
      </c>
      <c r="AB67" s="173" t="s">
        <v>13</v>
      </c>
      <c r="AD67" s="160" t="s">
        <v>307</v>
      </c>
      <c r="AE67" s="157">
        <f>OPEB_02</f>
        <v>0</v>
      </c>
      <c r="AG67" s="96" t="s">
        <v>308</v>
      </c>
      <c r="AH67" s="97"/>
      <c r="AI67" s="98"/>
      <c r="AL67" s="17"/>
      <c r="AM67" s="51" t="s">
        <v>48</v>
      </c>
      <c r="AN67" s="52">
        <v>0</v>
      </c>
      <c r="AO67" s="52">
        <v>1</v>
      </c>
      <c r="AP67" s="52">
        <v>2</v>
      </c>
      <c r="AQ67" s="53" t="s">
        <v>309</v>
      </c>
      <c r="AS67" s="51" t="s">
        <v>48</v>
      </c>
      <c r="AT67" s="52">
        <v>0</v>
      </c>
      <c r="AU67" s="52">
        <v>1</v>
      </c>
      <c r="AV67" s="52">
        <v>2</v>
      </c>
      <c r="AW67" s="53" t="s">
        <v>309</v>
      </c>
      <c r="AY67" s="51" t="s">
        <v>48</v>
      </c>
      <c r="AZ67" s="52">
        <v>0</v>
      </c>
      <c r="BA67" s="52">
        <v>1</v>
      </c>
      <c r="BB67" s="52">
        <v>2</v>
      </c>
      <c r="BC67" s="53" t="s">
        <v>309</v>
      </c>
      <c r="BE67" s="17"/>
    </row>
    <row r="68" spans="1:57" ht="15.95" customHeight="1" thickBot="1" x14ac:dyDescent="0.3">
      <c r="A68" s="4" t="s">
        <v>310</v>
      </c>
      <c r="P68" s="13"/>
      <c r="T68" s="55"/>
      <c r="Y68" s="171" t="s">
        <v>311</v>
      </c>
      <c r="Z68" s="166">
        <v>0.1</v>
      </c>
      <c r="AA68" s="172">
        <v>513</v>
      </c>
      <c r="AB68" s="173" t="s">
        <v>13</v>
      </c>
      <c r="AD68" s="160" t="s">
        <v>312</v>
      </c>
      <c r="AE68" s="158">
        <f>OPEB_03</f>
        <v>0</v>
      </c>
      <c r="AG68" s="101" t="s">
        <v>95</v>
      </c>
      <c r="AH68" s="102" t="s">
        <v>96</v>
      </c>
      <c r="AI68" s="103" t="s">
        <v>97</v>
      </c>
      <c r="AL68" s="17"/>
      <c r="AM68" s="54" t="s">
        <v>65</v>
      </c>
      <c r="AN68" s="7">
        <v>0</v>
      </c>
      <c r="AO68" s="7">
        <v>163.9</v>
      </c>
      <c r="AP68" s="7">
        <v>327.8</v>
      </c>
      <c r="AQ68" s="55">
        <v>163.9</v>
      </c>
      <c r="AS68" s="54" t="s">
        <v>65</v>
      </c>
      <c r="AT68" s="7">
        <v>0</v>
      </c>
      <c r="AU68" s="7">
        <v>0</v>
      </c>
      <c r="AV68" s="7">
        <v>0</v>
      </c>
      <c r="AW68" s="55">
        <v>0</v>
      </c>
      <c r="AY68" s="54" t="s">
        <v>65</v>
      </c>
      <c r="AZ68" s="7">
        <v>0</v>
      </c>
      <c r="BA68" s="7">
        <v>0</v>
      </c>
      <c r="BB68" s="7">
        <v>0</v>
      </c>
      <c r="BC68" s="55">
        <v>0</v>
      </c>
      <c r="BE68" s="17"/>
    </row>
    <row r="69" spans="1:57" ht="15.95" customHeight="1" thickTop="1" x14ac:dyDescent="0.25">
      <c r="P69" s="9"/>
      <c r="U69" s="7"/>
      <c r="Y69" s="171" t="s">
        <v>313</v>
      </c>
      <c r="Z69" s="166">
        <v>9.5000000000000001E-2</v>
      </c>
      <c r="AA69" s="172">
        <v>513</v>
      </c>
      <c r="AB69" s="173" t="s">
        <v>13</v>
      </c>
      <c r="AD69" s="160" t="s">
        <v>314</v>
      </c>
      <c r="AE69" s="158">
        <f>OPEB_04</f>
        <v>0</v>
      </c>
      <c r="AG69" s="27">
        <v>-999999</v>
      </c>
      <c r="AH69" s="13">
        <v>0</v>
      </c>
      <c r="AI69" s="29">
        <v>0</v>
      </c>
      <c r="AL69" s="17"/>
      <c r="AM69" s="54" t="s">
        <v>17</v>
      </c>
      <c r="AN69" s="7">
        <v>0</v>
      </c>
      <c r="AO69" s="7">
        <v>163.9</v>
      </c>
      <c r="AP69" s="7">
        <v>327.8</v>
      </c>
      <c r="AQ69" s="55">
        <v>163.9</v>
      </c>
      <c r="AS69" s="54" t="s">
        <v>17</v>
      </c>
      <c r="AT69" s="7">
        <v>0</v>
      </c>
      <c r="AU69" s="7">
        <v>0</v>
      </c>
      <c r="AV69" s="7">
        <v>0</v>
      </c>
      <c r="AW69" s="55">
        <v>0</v>
      </c>
      <c r="AY69" s="54" t="s">
        <v>17</v>
      </c>
      <c r="AZ69" s="7">
        <v>0</v>
      </c>
      <c r="BA69" s="7">
        <v>0</v>
      </c>
      <c r="BB69" s="7">
        <v>0</v>
      </c>
      <c r="BC69" s="55">
        <v>0</v>
      </c>
      <c r="BE69" s="17"/>
    </row>
    <row r="70" spans="1:57" ht="15.95" customHeight="1" x14ac:dyDescent="0.25">
      <c r="A70" s="44" t="s">
        <v>315</v>
      </c>
      <c r="P70" s="13"/>
      <c r="Y70" s="171" t="s">
        <v>316</v>
      </c>
      <c r="Z70" s="166">
        <v>0.1</v>
      </c>
      <c r="AA70" s="172">
        <v>513</v>
      </c>
      <c r="AB70" s="173" t="s">
        <v>13</v>
      </c>
      <c r="AD70" s="160" t="s">
        <v>317</v>
      </c>
      <c r="AE70" s="157">
        <f>OPEB_05</f>
        <v>0</v>
      </c>
      <c r="AG70" s="27">
        <v>11250</v>
      </c>
      <c r="AH70" s="13">
        <v>0.1</v>
      </c>
      <c r="AI70" s="29">
        <v>0</v>
      </c>
      <c r="AL70" s="17"/>
      <c r="AM70" s="51" t="s">
        <v>73</v>
      </c>
      <c r="AN70" s="52">
        <v>0</v>
      </c>
      <c r="AO70" s="52">
        <v>163.9</v>
      </c>
      <c r="AP70" s="52">
        <v>327.8</v>
      </c>
      <c r="AQ70" s="53">
        <v>163.9</v>
      </c>
      <c r="AS70" s="51" t="s">
        <v>73</v>
      </c>
      <c r="AT70" s="52">
        <v>0</v>
      </c>
      <c r="AU70" s="52">
        <v>0</v>
      </c>
      <c r="AV70" s="52">
        <v>0</v>
      </c>
      <c r="AW70" s="53">
        <v>0</v>
      </c>
      <c r="AY70" s="51" t="s">
        <v>73</v>
      </c>
      <c r="AZ70" s="52">
        <v>0</v>
      </c>
      <c r="BA70" s="52">
        <v>0</v>
      </c>
      <c r="BB70" s="52">
        <v>0</v>
      </c>
      <c r="BC70" s="53">
        <v>0</v>
      </c>
      <c r="BE70" s="17"/>
    </row>
    <row r="71" spans="1:57" ht="15.95" customHeight="1" x14ac:dyDescent="0.25">
      <c r="Y71" s="171" t="s">
        <v>318</v>
      </c>
      <c r="Z71" s="166">
        <v>0.08</v>
      </c>
      <c r="AA71" s="172">
        <v>513</v>
      </c>
      <c r="AB71" s="173" t="s">
        <v>13</v>
      </c>
      <c r="AD71" s="160" t="s">
        <v>319</v>
      </c>
      <c r="AE71" s="158">
        <f>OPEB_06</f>
        <v>0.04</v>
      </c>
      <c r="AG71" s="27">
        <v>19750</v>
      </c>
      <c r="AH71" s="13">
        <v>0.12</v>
      </c>
      <c r="AI71" s="29">
        <v>850</v>
      </c>
      <c r="AL71" s="17"/>
      <c r="BE71" s="17"/>
    </row>
    <row r="72" spans="1:57" ht="15.95" customHeight="1" x14ac:dyDescent="0.25">
      <c r="A72" s="44" t="s">
        <v>320</v>
      </c>
      <c r="Y72" s="171" t="s">
        <v>321</v>
      </c>
      <c r="Z72" s="166">
        <v>0.1</v>
      </c>
      <c r="AA72" s="172">
        <v>513</v>
      </c>
      <c r="AB72" s="173" t="s">
        <v>13</v>
      </c>
      <c r="AD72" s="160" t="s">
        <v>322</v>
      </c>
      <c r="AE72" s="158">
        <f>OPEB_07</f>
        <v>0</v>
      </c>
      <c r="AG72" s="27">
        <v>43675</v>
      </c>
      <c r="AH72" s="13">
        <v>0.22</v>
      </c>
      <c r="AI72" s="29">
        <v>3721</v>
      </c>
      <c r="AL72" s="17"/>
      <c r="BE72" s="17"/>
    </row>
    <row r="73" spans="1:57" ht="15.95" customHeight="1" x14ac:dyDescent="0.25">
      <c r="A73" s="4" t="s">
        <v>323</v>
      </c>
      <c r="P73" s="13"/>
      <c r="Y73" s="171" t="s">
        <v>324</v>
      </c>
      <c r="Z73" s="166">
        <v>0.09</v>
      </c>
      <c r="AA73" s="172">
        <v>317</v>
      </c>
      <c r="AB73" s="173" t="s">
        <v>37</v>
      </c>
      <c r="AD73" s="160" t="s">
        <v>325</v>
      </c>
      <c r="AE73" s="158">
        <f>OPEB_08</f>
        <v>0</v>
      </c>
      <c r="AG73" s="27">
        <v>62925</v>
      </c>
      <c r="AH73" s="13">
        <v>0.24</v>
      </c>
      <c r="AI73" s="29">
        <v>7956</v>
      </c>
    </row>
    <row r="74" spans="1:57" ht="15.95" customHeight="1" x14ac:dyDescent="0.25">
      <c r="P74" s="13"/>
      <c r="Y74" s="171" t="s">
        <v>326</v>
      </c>
      <c r="Z74" s="166">
        <v>0.1</v>
      </c>
      <c r="AA74" s="172">
        <v>513</v>
      </c>
      <c r="AB74" s="173" t="s">
        <v>13</v>
      </c>
      <c r="AD74" s="160" t="s">
        <v>327</v>
      </c>
      <c r="AE74" s="158">
        <f>OPEB_09</f>
        <v>0</v>
      </c>
      <c r="AG74" s="27">
        <v>109900</v>
      </c>
      <c r="AH74" s="155">
        <v>0.32</v>
      </c>
      <c r="AI74" s="29">
        <v>19230</v>
      </c>
    </row>
    <row r="75" spans="1:57" ht="15.95" customHeight="1" x14ac:dyDescent="0.25">
      <c r="A75" s="44" t="s">
        <v>328</v>
      </c>
      <c r="C75" s="5"/>
      <c r="Y75" s="171" t="s">
        <v>329</v>
      </c>
      <c r="Z75" s="166">
        <v>0.08</v>
      </c>
      <c r="AA75" s="172">
        <v>513</v>
      </c>
      <c r="AB75" s="173" t="s">
        <v>13</v>
      </c>
      <c r="AD75" s="160" t="s">
        <v>330</v>
      </c>
      <c r="AE75" s="158">
        <f>OPEB_10</f>
        <v>0</v>
      </c>
      <c r="AG75" s="27">
        <v>136500</v>
      </c>
      <c r="AH75" s="155">
        <v>0.35</v>
      </c>
      <c r="AI75" s="29">
        <v>27742</v>
      </c>
    </row>
    <row r="76" spans="1:57" ht="15.95" customHeight="1" x14ac:dyDescent="0.25">
      <c r="A76" s="4" t="s">
        <v>331</v>
      </c>
      <c r="C76" s="5"/>
      <c r="Y76" s="171" t="s">
        <v>332</v>
      </c>
      <c r="Z76" s="166">
        <v>0.08</v>
      </c>
      <c r="AA76" s="172">
        <v>0</v>
      </c>
      <c r="AB76" s="173" t="s">
        <v>13</v>
      </c>
      <c r="AD76" s="160" t="s">
        <v>333</v>
      </c>
      <c r="AE76" s="158">
        <f>OPEB_11</f>
        <v>0</v>
      </c>
      <c r="AG76" s="38">
        <v>324425</v>
      </c>
      <c r="AH76" s="156">
        <v>0.37</v>
      </c>
      <c r="AI76" s="40">
        <v>93515.75</v>
      </c>
    </row>
    <row r="77" spans="1:57" ht="15.95" customHeight="1" x14ac:dyDescent="0.25">
      <c r="A77" s="44"/>
      <c r="P77" s="13"/>
      <c r="Y77" s="171" t="s">
        <v>334</v>
      </c>
      <c r="Z77" s="166">
        <v>0.125</v>
      </c>
      <c r="AA77" s="172">
        <v>513</v>
      </c>
      <c r="AB77" s="173" t="s">
        <v>13</v>
      </c>
      <c r="AD77" s="160" t="s">
        <v>335</v>
      </c>
      <c r="AE77" s="157">
        <f>OPEB_12</f>
        <v>0</v>
      </c>
    </row>
    <row r="78" spans="1:57" ht="15.95" customHeight="1" x14ac:dyDescent="0.25">
      <c r="A78" s="44" t="s">
        <v>336</v>
      </c>
      <c r="P78" s="9"/>
      <c r="Y78" s="171" t="s">
        <v>337</v>
      </c>
      <c r="Z78" s="166">
        <v>8.5000000000000006E-2</v>
      </c>
      <c r="AA78" s="172">
        <v>513</v>
      </c>
      <c r="AB78" s="173" t="s">
        <v>13</v>
      </c>
      <c r="AD78" s="160" t="s">
        <v>338</v>
      </c>
      <c r="AE78" s="157">
        <f>OPEB_13</f>
        <v>0</v>
      </c>
    </row>
    <row r="79" spans="1:57" ht="15.95" customHeight="1" x14ac:dyDescent="0.25">
      <c r="A79" s="4" t="s">
        <v>339</v>
      </c>
      <c r="P79" s="13"/>
      <c r="Q79" s="56"/>
      <c r="Y79" s="171" t="s">
        <v>340</v>
      </c>
      <c r="Z79" s="166">
        <v>0.1</v>
      </c>
      <c r="AA79" s="172">
        <v>317</v>
      </c>
      <c r="AB79" s="173" t="s">
        <v>37</v>
      </c>
      <c r="AD79" s="160" t="s">
        <v>341</v>
      </c>
      <c r="AE79" s="158">
        <f>OPEB_14</f>
        <v>0</v>
      </c>
    </row>
    <row r="80" spans="1:57" ht="15.95" customHeight="1" x14ac:dyDescent="0.25">
      <c r="A80" s="4" t="s">
        <v>342</v>
      </c>
      <c r="P80" s="13"/>
      <c r="Q80" s="56"/>
      <c r="Y80" s="171" t="s">
        <v>343</v>
      </c>
      <c r="Z80" s="166">
        <v>0.08</v>
      </c>
      <c r="AA80" s="172">
        <v>513</v>
      </c>
      <c r="AB80" s="173" t="s">
        <v>13</v>
      </c>
      <c r="AD80" s="160" t="s">
        <v>344</v>
      </c>
      <c r="AE80" s="158">
        <f>OPEB_15</f>
        <v>0</v>
      </c>
    </row>
    <row r="81" spans="1:31" ht="15.95" customHeight="1" x14ac:dyDescent="0.25">
      <c r="P81" s="13"/>
      <c r="Q81" s="56"/>
      <c r="V81" s="7"/>
      <c r="W81" s="7"/>
      <c r="Y81" s="171" t="s">
        <v>345</v>
      </c>
      <c r="Z81" s="166">
        <v>0.09</v>
      </c>
      <c r="AA81" s="172">
        <v>317</v>
      </c>
      <c r="AB81" s="173" t="s">
        <v>37</v>
      </c>
      <c r="AD81" s="160" t="s">
        <v>346</v>
      </c>
      <c r="AE81" s="158">
        <f>OPEB_16</f>
        <v>1.4E-2</v>
      </c>
    </row>
    <row r="82" spans="1:31" ht="15.95" customHeight="1" x14ac:dyDescent="0.25">
      <c r="A82" s="44" t="s">
        <v>347</v>
      </c>
      <c r="P82" s="13"/>
      <c r="Y82" s="171" t="s">
        <v>348</v>
      </c>
      <c r="Z82" s="166">
        <v>0.09</v>
      </c>
      <c r="AA82" s="172">
        <v>317</v>
      </c>
      <c r="AB82" s="173" t="s">
        <v>22</v>
      </c>
      <c r="AD82" s="160" t="s">
        <v>349</v>
      </c>
      <c r="AE82" s="158">
        <f>OPEB_17</f>
        <v>0</v>
      </c>
    </row>
    <row r="83" spans="1:31" ht="15.95" customHeight="1" x14ac:dyDescent="0.25">
      <c r="A83" s="4" t="s">
        <v>339</v>
      </c>
      <c r="P83" s="13"/>
      <c r="Y83" s="171" t="s">
        <v>350</v>
      </c>
      <c r="Z83" s="166">
        <v>0.06</v>
      </c>
      <c r="AA83" s="172">
        <v>317</v>
      </c>
      <c r="AB83" s="173" t="s">
        <v>37</v>
      </c>
      <c r="AD83" s="160" t="s">
        <v>351</v>
      </c>
      <c r="AE83" s="158">
        <f>OPEB_18</f>
        <v>0</v>
      </c>
    </row>
    <row r="84" spans="1:31" ht="15.95" customHeight="1" x14ac:dyDescent="0.25">
      <c r="A84" s="4" t="s">
        <v>352</v>
      </c>
      <c r="P84" s="13"/>
      <c r="Y84" s="171" t="s">
        <v>353</v>
      </c>
      <c r="Z84" s="166">
        <v>0.09</v>
      </c>
      <c r="AA84" s="172">
        <v>317</v>
      </c>
      <c r="AB84" s="173" t="s">
        <v>22</v>
      </c>
      <c r="AD84" s="160" t="s">
        <v>354</v>
      </c>
      <c r="AE84" s="158">
        <f>OPEB_19</f>
        <v>0</v>
      </c>
    </row>
    <row r="85" spans="1:31" ht="15.95" customHeight="1" x14ac:dyDescent="0.25">
      <c r="Y85" s="171" t="s">
        <v>355</v>
      </c>
      <c r="Z85" s="166">
        <v>0.09</v>
      </c>
      <c r="AA85" s="172">
        <v>513</v>
      </c>
      <c r="AB85" s="173" t="s">
        <v>13</v>
      </c>
      <c r="AD85" s="160" t="s">
        <v>356</v>
      </c>
      <c r="AE85" s="158">
        <f>OPEB_20</f>
        <v>0</v>
      </c>
    </row>
    <row r="86" spans="1:31" ht="15.95" customHeight="1" x14ac:dyDescent="0.25">
      <c r="A86" s="44" t="s">
        <v>357</v>
      </c>
      <c r="Y86" s="171" t="s">
        <v>358</v>
      </c>
      <c r="Z86" s="166">
        <v>0.08</v>
      </c>
      <c r="AA86" s="172">
        <v>513</v>
      </c>
      <c r="AB86" s="173" t="s">
        <v>13</v>
      </c>
      <c r="AD86" s="160" t="s">
        <v>359</v>
      </c>
      <c r="AE86" s="158">
        <f>OPEB_21</f>
        <v>0</v>
      </c>
    </row>
    <row r="87" spans="1:31" ht="15.95" customHeight="1" x14ac:dyDescent="0.25">
      <c r="A87" s="4" t="s">
        <v>339</v>
      </c>
      <c r="P87" s="13"/>
      <c r="Y87" s="171" t="s">
        <v>360</v>
      </c>
      <c r="Z87" s="166">
        <v>0.08</v>
      </c>
      <c r="AA87" s="172">
        <v>513</v>
      </c>
      <c r="AB87" s="173" t="s">
        <v>13</v>
      </c>
      <c r="AD87" s="160" t="s">
        <v>361</v>
      </c>
      <c r="AE87" s="158">
        <f>OPEB_48</f>
        <v>0</v>
      </c>
    </row>
    <row r="88" spans="1:31" ht="15.95" customHeight="1" x14ac:dyDescent="0.25">
      <c r="A88" s="4" t="s">
        <v>352</v>
      </c>
      <c r="P88" s="13"/>
      <c r="Y88" s="171" t="s">
        <v>362</v>
      </c>
      <c r="Z88" s="166">
        <v>0.05</v>
      </c>
      <c r="AA88" s="172">
        <v>513</v>
      </c>
      <c r="AB88" s="173" t="s">
        <v>13</v>
      </c>
      <c r="AD88" s="160" t="s">
        <v>363</v>
      </c>
      <c r="AE88" s="158">
        <f>OPEB_50</f>
        <v>0</v>
      </c>
    </row>
    <row r="89" spans="1:31" ht="15.95" customHeight="1" x14ac:dyDescent="0.25">
      <c r="P89" s="9"/>
      <c r="Y89" s="171" t="s">
        <v>364</v>
      </c>
      <c r="Z89" s="166">
        <v>0.105</v>
      </c>
      <c r="AA89" s="172">
        <v>317</v>
      </c>
      <c r="AB89" s="173" t="s">
        <v>37</v>
      </c>
      <c r="AD89" s="160" t="s">
        <v>365</v>
      </c>
      <c r="AE89" s="158">
        <f>OPEB_58</f>
        <v>0</v>
      </c>
    </row>
    <row r="90" spans="1:31" ht="15.95" customHeight="1" x14ac:dyDescent="0.25">
      <c r="A90" s="44" t="s">
        <v>366</v>
      </c>
      <c r="P90" s="13"/>
      <c r="Y90" s="171" t="s">
        <v>367</v>
      </c>
      <c r="Z90" s="166">
        <v>0.08</v>
      </c>
      <c r="AA90" s="172">
        <v>238</v>
      </c>
      <c r="AB90" s="173" t="s">
        <v>37</v>
      </c>
      <c r="AD90" s="160" t="s">
        <v>368</v>
      </c>
      <c r="AE90" s="158">
        <f>OPEB_59</f>
        <v>0</v>
      </c>
    </row>
    <row r="91" spans="1:31" ht="15.95" customHeight="1" x14ac:dyDescent="0.25">
      <c r="A91" s="4" t="s">
        <v>339</v>
      </c>
      <c r="P91" s="13"/>
      <c r="Y91" s="171" t="s">
        <v>369</v>
      </c>
      <c r="Z91" s="166">
        <v>0.08</v>
      </c>
      <c r="AA91" s="172">
        <v>238</v>
      </c>
      <c r="AB91" s="173" t="s">
        <v>22</v>
      </c>
      <c r="AD91" s="160" t="s">
        <v>370</v>
      </c>
      <c r="AE91" s="158">
        <f>OPEB_67</f>
        <v>0</v>
      </c>
    </row>
    <row r="92" spans="1:31" ht="15.95" customHeight="1" x14ac:dyDescent="0.25">
      <c r="A92" s="4" t="s">
        <v>352</v>
      </c>
      <c r="P92" s="13"/>
      <c r="Y92" s="171" t="s">
        <v>371</v>
      </c>
      <c r="Z92" s="166">
        <v>0.01</v>
      </c>
      <c r="AA92" s="172">
        <v>317</v>
      </c>
      <c r="AB92" s="173" t="s">
        <v>22</v>
      </c>
      <c r="AD92" s="160" t="s">
        <v>372</v>
      </c>
      <c r="AE92" s="158">
        <f>OPEB_68</f>
        <v>0</v>
      </c>
    </row>
    <row r="93" spans="1:31" ht="15.95" customHeight="1" x14ac:dyDescent="0.25">
      <c r="P93" s="13"/>
      <c r="Y93" s="171" t="s">
        <v>373</v>
      </c>
      <c r="Z93" s="166">
        <v>0.06</v>
      </c>
      <c r="AA93" s="172">
        <v>238</v>
      </c>
      <c r="AB93" s="173" t="s">
        <v>37</v>
      </c>
      <c r="AD93" s="160" t="s">
        <v>374</v>
      </c>
      <c r="AE93" s="158">
        <f>OPEB_77</f>
        <v>0</v>
      </c>
    </row>
    <row r="94" spans="1:31" ht="15.95" customHeight="1" x14ac:dyDescent="0.25">
      <c r="A94" s="44" t="s">
        <v>375</v>
      </c>
      <c r="P94" s="13"/>
      <c r="Y94" s="171" t="s">
        <v>376</v>
      </c>
      <c r="Z94" s="166">
        <v>0.13</v>
      </c>
      <c r="AA94" s="172">
        <v>513</v>
      </c>
      <c r="AB94" s="173" t="s">
        <v>22</v>
      </c>
      <c r="AD94" s="160" t="s">
        <v>377</v>
      </c>
      <c r="AE94" s="158">
        <f>OPEB_78</f>
        <v>0</v>
      </c>
    </row>
    <row r="95" spans="1:31" ht="15.95" customHeight="1" x14ac:dyDescent="0.25">
      <c r="Y95" s="171" t="s">
        <v>378</v>
      </c>
      <c r="Z95" s="166">
        <v>0.08</v>
      </c>
      <c r="AA95" s="172">
        <v>863</v>
      </c>
      <c r="AB95" s="173" t="s">
        <v>37</v>
      </c>
      <c r="AD95" s="160" t="s">
        <v>379</v>
      </c>
      <c r="AE95" s="158">
        <f>OPEB_79</f>
        <v>0</v>
      </c>
    </row>
    <row r="96" spans="1:31" ht="15.95" customHeight="1" x14ac:dyDescent="0.25">
      <c r="A96" s="44" t="s">
        <v>380</v>
      </c>
      <c r="Y96" s="171" t="s">
        <v>381</v>
      </c>
      <c r="Z96" s="166">
        <v>0.08</v>
      </c>
      <c r="AA96" s="172">
        <v>238</v>
      </c>
      <c r="AB96" s="173" t="s">
        <v>37</v>
      </c>
      <c r="AD96" s="160" t="s">
        <v>382</v>
      </c>
      <c r="AE96" s="158">
        <f>OPEB_88</f>
        <v>2.3E-2</v>
      </c>
    </row>
    <row r="97" spans="1:31" ht="15.95" customHeight="1" x14ac:dyDescent="0.25">
      <c r="P97" s="13"/>
      <c r="S97" s="7"/>
      <c r="Y97" s="171" t="s">
        <v>383</v>
      </c>
      <c r="Z97" s="166">
        <v>0.13</v>
      </c>
      <c r="AA97" s="172">
        <v>863</v>
      </c>
      <c r="AB97" s="173" t="s">
        <v>37</v>
      </c>
      <c r="AD97" s="160" t="s">
        <v>384</v>
      </c>
      <c r="AE97" s="158">
        <f>OPEB_89</f>
        <v>2.3E-2</v>
      </c>
    </row>
    <row r="98" spans="1:31" ht="15.95" customHeight="1" x14ac:dyDescent="0.25">
      <c r="A98" s="44" t="s">
        <v>385</v>
      </c>
      <c r="P98" s="9"/>
      <c r="Y98" s="171" t="s">
        <v>386</v>
      </c>
      <c r="Z98" s="166">
        <v>0.13</v>
      </c>
      <c r="AA98" s="172">
        <v>863</v>
      </c>
      <c r="AB98" s="173" t="s">
        <v>22</v>
      </c>
      <c r="AD98" s="160" t="s">
        <v>387</v>
      </c>
      <c r="AE98" s="158">
        <f>OPEB_97</f>
        <v>0</v>
      </c>
    </row>
    <row r="99" spans="1:31" ht="15.95" customHeight="1" x14ac:dyDescent="0.25">
      <c r="A99" s="44"/>
      <c r="P99" s="13"/>
      <c r="Y99" s="171" t="s">
        <v>388</v>
      </c>
      <c r="Z99" s="166">
        <v>0.13</v>
      </c>
      <c r="AA99" s="172">
        <v>863</v>
      </c>
      <c r="AB99" s="173" t="s">
        <v>37</v>
      </c>
      <c r="AD99" s="160" t="s">
        <v>389</v>
      </c>
      <c r="AE99" s="158">
        <f>OPEB_98</f>
        <v>0</v>
      </c>
    </row>
    <row r="100" spans="1:31" ht="15.95" customHeight="1" x14ac:dyDescent="0.25">
      <c r="A100" s="44" t="s">
        <v>390</v>
      </c>
      <c r="P100" s="13"/>
      <c r="Y100" s="171" t="s">
        <v>391</v>
      </c>
      <c r="Z100" s="166">
        <v>0.13</v>
      </c>
      <c r="AA100" s="172">
        <v>863</v>
      </c>
      <c r="AB100" s="173" t="s">
        <v>22</v>
      </c>
      <c r="AD100" s="160" t="s">
        <v>392</v>
      </c>
      <c r="AE100" s="158">
        <f>OPEB_99</f>
        <v>0</v>
      </c>
    </row>
    <row r="101" spans="1:31" ht="15.95" customHeight="1" x14ac:dyDescent="0.25">
      <c r="P101" s="13"/>
      <c r="Y101" s="171" t="s">
        <v>393</v>
      </c>
      <c r="Z101" s="166">
        <v>0.13</v>
      </c>
      <c r="AA101" s="172">
        <v>863</v>
      </c>
      <c r="AB101" s="173" t="s">
        <v>37</v>
      </c>
      <c r="AD101" s="160" t="s">
        <v>394</v>
      </c>
      <c r="AE101" s="158">
        <f>OPEB_01</f>
        <v>0</v>
      </c>
    </row>
    <row r="102" spans="1:31" ht="15.95" customHeight="1" x14ac:dyDescent="0.25">
      <c r="A102" s="44" t="s">
        <v>395</v>
      </c>
      <c r="P102" s="13"/>
      <c r="Q102" s="13"/>
      <c r="Y102" s="171" t="s">
        <v>396</v>
      </c>
      <c r="Z102" s="166">
        <v>0.13</v>
      </c>
      <c r="AA102" s="172">
        <v>863</v>
      </c>
      <c r="AB102" s="173" t="s">
        <v>22</v>
      </c>
      <c r="AD102" s="160" t="s">
        <v>397</v>
      </c>
      <c r="AE102" s="157">
        <f>OPEB_02</f>
        <v>0</v>
      </c>
    </row>
    <row r="103" spans="1:31" ht="15.95" customHeight="1" x14ac:dyDescent="0.25">
      <c r="A103" s="4" t="s">
        <v>398</v>
      </c>
      <c r="Q103" s="13"/>
      <c r="Y103" s="171" t="s">
        <v>399</v>
      </c>
      <c r="Z103" s="166">
        <v>0.13250000000000001</v>
      </c>
      <c r="AA103" s="172">
        <v>0</v>
      </c>
      <c r="AB103" s="173" t="s">
        <v>37</v>
      </c>
      <c r="AD103" s="160" t="s">
        <v>400</v>
      </c>
      <c r="AE103" s="158">
        <f>OPEB_03</f>
        <v>0</v>
      </c>
    </row>
    <row r="104" spans="1:31" ht="15.95" customHeight="1" x14ac:dyDescent="0.25">
      <c r="Q104" s="13"/>
      <c r="Y104" s="171" t="s">
        <v>401</v>
      </c>
      <c r="Z104" s="166">
        <v>0.13250000000000001</v>
      </c>
      <c r="AA104" s="172">
        <v>0</v>
      </c>
      <c r="AB104" s="173" t="s">
        <v>22</v>
      </c>
      <c r="AD104" s="160" t="s">
        <v>402</v>
      </c>
      <c r="AE104" s="158">
        <f>OPEB_04</f>
        <v>0</v>
      </c>
    </row>
    <row r="105" spans="1:31" ht="15.95" customHeight="1" x14ac:dyDescent="0.25">
      <c r="A105" s="44" t="s">
        <v>403</v>
      </c>
      <c r="P105" s="13"/>
      <c r="Q105" s="13"/>
      <c r="Y105" s="171" t="s">
        <v>404</v>
      </c>
      <c r="Z105" s="166">
        <v>9.5000000000000001E-2</v>
      </c>
      <c r="AA105" s="172">
        <v>317</v>
      </c>
      <c r="AB105" s="173" t="s">
        <v>37</v>
      </c>
      <c r="AD105" s="160" t="s">
        <v>405</v>
      </c>
      <c r="AE105" s="157">
        <f>OPEB_05</f>
        <v>0</v>
      </c>
    </row>
    <row r="106" spans="1:31" ht="15.95" customHeight="1" x14ac:dyDescent="0.25">
      <c r="A106" s="4" t="s">
        <v>406</v>
      </c>
      <c r="P106" s="9"/>
      <c r="Q106" s="13"/>
      <c r="Y106" s="171" t="s">
        <v>407</v>
      </c>
      <c r="Z106" s="166">
        <v>0.09</v>
      </c>
      <c r="AA106" s="172">
        <v>513</v>
      </c>
      <c r="AB106" s="173" t="s">
        <v>13</v>
      </c>
      <c r="AD106" s="160" t="s">
        <v>408</v>
      </c>
      <c r="AE106" s="158">
        <f>OPEB_06</f>
        <v>0.04</v>
      </c>
    </row>
    <row r="107" spans="1:31" ht="15.95" customHeight="1" x14ac:dyDescent="0.25">
      <c r="A107" s="4" t="s">
        <v>409</v>
      </c>
      <c r="P107" s="13"/>
      <c r="Q107" s="13"/>
      <c r="Y107" s="171" t="s">
        <v>410</v>
      </c>
      <c r="Z107" s="166">
        <v>0.11</v>
      </c>
      <c r="AA107" s="172">
        <v>863</v>
      </c>
      <c r="AB107" s="173" t="s">
        <v>37</v>
      </c>
      <c r="AD107" s="160" t="s">
        <v>411</v>
      </c>
      <c r="AE107" s="158">
        <f>OPEB_07</f>
        <v>0</v>
      </c>
    </row>
    <row r="108" spans="1:31" ht="15.95" customHeight="1" x14ac:dyDescent="0.25">
      <c r="P108" s="13"/>
      <c r="Q108" s="13"/>
      <c r="Y108" s="171" t="s">
        <v>412</v>
      </c>
      <c r="Z108" s="166">
        <v>0.13</v>
      </c>
      <c r="AA108" s="172">
        <v>863</v>
      </c>
      <c r="AB108" s="173" t="s">
        <v>22</v>
      </c>
      <c r="AD108" s="160" t="s">
        <v>413</v>
      </c>
      <c r="AE108" s="158">
        <f>OPEB_08</f>
        <v>0</v>
      </c>
    </row>
    <row r="109" spans="1:31" ht="15.95" customHeight="1" x14ac:dyDescent="0.25">
      <c r="A109" s="44" t="s">
        <v>414</v>
      </c>
      <c r="P109" s="13"/>
      <c r="Y109" s="171" t="s">
        <v>415</v>
      </c>
      <c r="Z109" s="166">
        <v>0.08</v>
      </c>
      <c r="AA109" s="172">
        <v>238</v>
      </c>
      <c r="AB109" s="173" t="s">
        <v>37</v>
      </c>
      <c r="AD109" s="160" t="s">
        <v>416</v>
      </c>
      <c r="AE109" s="158">
        <f>OPEB_09</f>
        <v>0</v>
      </c>
    </row>
    <row r="110" spans="1:31" ht="15.95" customHeight="1" x14ac:dyDescent="0.25">
      <c r="A110" s="4" t="s">
        <v>417</v>
      </c>
      <c r="P110" s="13"/>
      <c r="Q110" s="13"/>
      <c r="Y110" s="171" t="s">
        <v>418</v>
      </c>
      <c r="Z110" s="166">
        <v>0.08</v>
      </c>
      <c r="AA110" s="172">
        <v>238</v>
      </c>
      <c r="AB110" s="173" t="s">
        <v>22</v>
      </c>
      <c r="AD110" s="160" t="s">
        <v>419</v>
      </c>
      <c r="AE110" s="158">
        <f>OPEB_10</f>
        <v>0</v>
      </c>
    </row>
    <row r="111" spans="1:31" ht="15.95" customHeight="1" x14ac:dyDescent="0.25">
      <c r="A111" s="4" t="s">
        <v>420</v>
      </c>
      <c r="P111" s="13"/>
      <c r="Q111" s="13"/>
      <c r="Y111" s="171" t="s">
        <v>421</v>
      </c>
      <c r="Z111" s="166">
        <v>0.08</v>
      </c>
      <c r="AA111" s="172">
        <v>238</v>
      </c>
      <c r="AB111" s="173" t="s">
        <v>37</v>
      </c>
      <c r="AD111" s="160" t="s">
        <v>422</v>
      </c>
      <c r="AE111" s="158">
        <f>OPEB_11</f>
        <v>0</v>
      </c>
    </row>
    <row r="112" spans="1:31" ht="15.95" customHeight="1" x14ac:dyDescent="0.25">
      <c r="A112" s="4" t="s">
        <v>423</v>
      </c>
      <c r="P112" s="13"/>
      <c r="Q112" s="13"/>
      <c r="Y112" s="171" t="s">
        <v>424</v>
      </c>
      <c r="Z112" s="166">
        <v>0.08</v>
      </c>
      <c r="AA112" s="172">
        <v>238</v>
      </c>
      <c r="AB112" s="173" t="s">
        <v>22</v>
      </c>
      <c r="AD112" s="160" t="s">
        <v>425</v>
      </c>
      <c r="AE112" s="157">
        <f>OPEB_12</f>
        <v>0</v>
      </c>
    </row>
    <row r="113" spans="1:31" ht="15.95" customHeight="1" x14ac:dyDescent="0.25">
      <c r="A113" s="30" t="s">
        <v>426</v>
      </c>
      <c r="P113" s="13"/>
      <c r="Q113" s="13"/>
      <c r="Y113" s="171" t="s">
        <v>427</v>
      </c>
      <c r="Z113" s="166">
        <v>0.125</v>
      </c>
      <c r="AA113" s="172">
        <v>863</v>
      </c>
      <c r="AB113" s="173" t="s">
        <v>37</v>
      </c>
      <c r="AD113" s="160" t="s">
        <v>428</v>
      </c>
      <c r="AE113" s="157">
        <f>OPEB_13</f>
        <v>0</v>
      </c>
    </row>
    <row r="114" spans="1:31" ht="15.95" customHeight="1" x14ac:dyDescent="0.25">
      <c r="P114" s="9"/>
      <c r="Q114" s="13"/>
      <c r="Y114" s="171" t="s">
        <v>429</v>
      </c>
      <c r="Z114" s="166">
        <v>0.13</v>
      </c>
      <c r="AA114" s="172">
        <v>863</v>
      </c>
      <c r="AB114" s="173" t="s">
        <v>22</v>
      </c>
      <c r="AD114" s="160" t="s">
        <v>430</v>
      </c>
      <c r="AE114" s="158">
        <f>OPEB_14</f>
        <v>0</v>
      </c>
    </row>
    <row r="115" spans="1:31" ht="15.95" customHeight="1" x14ac:dyDescent="0.25">
      <c r="A115" s="44" t="s">
        <v>431</v>
      </c>
      <c r="P115" s="56"/>
      <c r="Q115" s="13"/>
      <c r="Y115" s="171" t="s">
        <v>432</v>
      </c>
      <c r="Z115" s="166">
        <v>0.125</v>
      </c>
      <c r="AA115" s="172">
        <v>863</v>
      </c>
      <c r="AB115" s="173" t="s">
        <v>37</v>
      </c>
      <c r="AD115" s="160" t="s">
        <v>433</v>
      </c>
      <c r="AE115" s="158">
        <f>OPEB_15</f>
        <v>0</v>
      </c>
    </row>
    <row r="116" spans="1:31" ht="15.95" customHeight="1" x14ac:dyDescent="0.25">
      <c r="A116" s="4" t="s">
        <v>434</v>
      </c>
      <c r="P116" s="56"/>
      <c r="Y116" s="171" t="s">
        <v>435</v>
      </c>
      <c r="Z116" s="166">
        <v>0.125</v>
      </c>
      <c r="AA116" s="172">
        <v>863</v>
      </c>
      <c r="AB116" s="173" t="s">
        <v>22</v>
      </c>
      <c r="AD116" s="160" t="s">
        <v>436</v>
      </c>
      <c r="AE116" s="158">
        <f>OPEB_16</f>
        <v>1.4E-2</v>
      </c>
    </row>
    <row r="117" spans="1:31" ht="15.95" customHeight="1" x14ac:dyDescent="0.25">
      <c r="A117" s="30" t="s">
        <v>437</v>
      </c>
      <c r="P117" s="56"/>
      <c r="Y117" s="171" t="s">
        <v>438</v>
      </c>
      <c r="Z117" s="166">
        <v>0.13250000000000001</v>
      </c>
      <c r="AA117" s="172">
        <v>0</v>
      </c>
      <c r="AB117" s="173" t="s">
        <v>37</v>
      </c>
      <c r="AD117" s="160" t="s">
        <v>439</v>
      </c>
      <c r="AE117" s="158">
        <f>OPEB_17</f>
        <v>0</v>
      </c>
    </row>
    <row r="118" spans="1:31" ht="15.95" customHeight="1" x14ac:dyDescent="0.25">
      <c r="P118" s="56"/>
      <c r="Q118" s="13"/>
      <c r="Y118" s="171" t="s">
        <v>440</v>
      </c>
      <c r="Z118" s="166">
        <v>0.1</v>
      </c>
      <c r="AA118" s="172">
        <v>513</v>
      </c>
      <c r="AB118" s="173" t="s">
        <v>37</v>
      </c>
      <c r="AD118" s="160" t="s">
        <v>441</v>
      </c>
      <c r="AE118" s="158">
        <f>OPEB_18</f>
        <v>0</v>
      </c>
    </row>
    <row r="119" spans="1:31" ht="15.95" customHeight="1" x14ac:dyDescent="0.25">
      <c r="A119" s="44" t="s">
        <v>442</v>
      </c>
      <c r="P119" s="56"/>
      <c r="Q119" s="13"/>
      <c r="Y119" s="171" t="s">
        <v>443</v>
      </c>
      <c r="Z119" s="166">
        <v>0.13</v>
      </c>
      <c r="AA119" s="172">
        <v>513</v>
      </c>
      <c r="AB119" s="173" t="s">
        <v>22</v>
      </c>
      <c r="AD119" s="160" t="s">
        <v>444</v>
      </c>
      <c r="AE119" s="158">
        <f>OPEB_19</f>
        <v>0</v>
      </c>
    </row>
    <row r="120" spans="1:31" ht="15.95" customHeight="1" x14ac:dyDescent="0.25">
      <c r="A120" s="4" t="s">
        <v>445</v>
      </c>
      <c r="P120" s="56"/>
      <c r="Q120" s="13"/>
      <c r="Y120" s="171" t="s">
        <v>446</v>
      </c>
      <c r="Z120" s="166">
        <v>0.13250000000000001</v>
      </c>
      <c r="AA120" s="172">
        <v>0</v>
      </c>
      <c r="AB120" s="173" t="s">
        <v>22</v>
      </c>
      <c r="AD120" s="160" t="s">
        <v>447</v>
      </c>
      <c r="AE120" s="158">
        <f>OPEB_20</f>
        <v>0</v>
      </c>
    </row>
    <row r="121" spans="1:31" ht="15.95" customHeight="1" x14ac:dyDescent="0.25">
      <c r="A121" s="4" t="s">
        <v>448</v>
      </c>
      <c r="P121" s="13"/>
      <c r="Q121" s="13"/>
      <c r="Y121" s="171" t="s">
        <v>449</v>
      </c>
      <c r="Z121" s="166">
        <v>0.105</v>
      </c>
      <c r="AA121" s="172">
        <v>317</v>
      </c>
      <c r="AB121" s="173" t="s">
        <v>37</v>
      </c>
      <c r="AD121" s="160" t="s">
        <v>450</v>
      </c>
      <c r="AE121" s="158">
        <f>OPEB_21</f>
        <v>0</v>
      </c>
    </row>
    <row r="122" spans="1:31" ht="15.95" customHeight="1" x14ac:dyDescent="0.25">
      <c r="A122" s="4" t="s">
        <v>451</v>
      </c>
      <c r="Q122" s="13"/>
      <c r="Y122" s="171" t="s">
        <v>452</v>
      </c>
      <c r="Z122" s="166">
        <v>3.7499999999999999E-2</v>
      </c>
      <c r="AA122" s="172">
        <v>0</v>
      </c>
      <c r="AB122" s="173" t="s">
        <v>13</v>
      </c>
      <c r="AD122" s="160" t="s">
        <v>453</v>
      </c>
      <c r="AE122" s="158">
        <f>+OPEB_ON</f>
        <v>0</v>
      </c>
    </row>
    <row r="123" spans="1:31" ht="15.95" customHeight="1" x14ac:dyDescent="0.25">
      <c r="Q123" s="13"/>
      <c r="Y123" s="171" t="s">
        <v>454</v>
      </c>
      <c r="Z123" s="166">
        <v>0.06</v>
      </c>
      <c r="AA123" s="172">
        <v>317</v>
      </c>
      <c r="AB123" s="173" t="s">
        <v>22</v>
      </c>
      <c r="AD123" s="160" t="s">
        <v>44</v>
      </c>
      <c r="AE123" s="158">
        <f>OPEB_01</f>
        <v>0</v>
      </c>
    </row>
    <row r="124" spans="1:31" ht="15.95" customHeight="1" x14ac:dyDescent="0.25">
      <c r="Y124" s="171" t="s">
        <v>455</v>
      </c>
      <c r="Z124" s="166">
        <v>0.05</v>
      </c>
      <c r="AA124" s="172">
        <v>513</v>
      </c>
      <c r="AB124" s="173" t="s">
        <v>13</v>
      </c>
      <c r="AD124" s="160" t="s">
        <v>456</v>
      </c>
      <c r="AE124" s="157">
        <f>OPEB_02</f>
        <v>0</v>
      </c>
    </row>
    <row r="125" spans="1:31" ht="15.95" customHeight="1" x14ac:dyDescent="0.25">
      <c r="Y125" s="171" t="s">
        <v>457</v>
      </c>
      <c r="Z125" s="166">
        <v>3.7499999999999999E-2</v>
      </c>
      <c r="AA125" s="172">
        <v>0</v>
      </c>
      <c r="AB125" s="173" t="s">
        <v>13</v>
      </c>
      <c r="AD125" s="160" t="s">
        <v>458</v>
      </c>
      <c r="AE125" s="158">
        <f>OPEB_03</f>
        <v>0</v>
      </c>
    </row>
    <row r="126" spans="1:31" ht="15.95" customHeight="1" x14ac:dyDescent="0.25">
      <c r="Q126" s="13"/>
      <c r="Y126" s="171" t="s">
        <v>459</v>
      </c>
      <c r="Z126" s="166">
        <v>0.08</v>
      </c>
      <c r="AA126" s="172">
        <v>513</v>
      </c>
      <c r="AB126" s="173" t="s">
        <v>13</v>
      </c>
      <c r="AD126" s="160" t="s">
        <v>460</v>
      </c>
      <c r="AE126" s="158">
        <f>OPEB_04</f>
        <v>0</v>
      </c>
    </row>
    <row r="127" spans="1:31" ht="15.95" customHeight="1" x14ac:dyDescent="0.25">
      <c r="Q127" s="13"/>
      <c r="Y127" s="171" t="s">
        <v>461</v>
      </c>
      <c r="Z127" s="166">
        <v>0.06</v>
      </c>
      <c r="AA127" s="172">
        <v>317</v>
      </c>
      <c r="AB127" s="173" t="s">
        <v>37</v>
      </c>
      <c r="AD127" s="160" t="s">
        <v>462</v>
      </c>
      <c r="AE127" s="157">
        <f>OPEB_05</f>
        <v>0</v>
      </c>
    </row>
    <row r="128" spans="1:31" ht="15.95" customHeight="1" x14ac:dyDescent="0.25">
      <c r="Q128" s="13"/>
      <c r="Y128" s="171" t="s">
        <v>463</v>
      </c>
      <c r="Z128" s="166">
        <v>3.7499999999999999E-2</v>
      </c>
      <c r="AA128" s="172">
        <v>0</v>
      </c>
      <c r="AB128" s="173" t="s">
        <v>13</v>
      </c>
      <c r="AD128" s="160" t="s">
        <v>464</v>
      </c>
      <c r="AE128" s="158">
        <f>OPEB_06</f>
        <v>0.04</v>
      </c>
    </row>
    <row r="129" spans="14:31" ht="15.95" customHeight="1" x14ac:dyDescent="0.25">
      <c r="Q129" s="13"/>
      <c r="Y129" s="171" t="s">
        <v>164</v>
      </c>
      <c r="Z129" s="166">
        <v>0.06</v>
      </c>
      <c r="AA129" s="172">
        <v>317</v>
      </c>
      <c r="AB129" s="173" t="s">
        <v>22</v>
      </c>
      <c r="AD129" s="160" t="s">
        <v>465</v>
      </c>
      <c r="AE129" s="158">
        <f>OPEB_07</f>
        <v>0</v>
      </c>
    </row>
    <row r="130" spans="14:31" ht="15.95" customHeight="1" x14ac:dyDescent="0.25">
      <c r="Q130" s="13"/>
      <c r="Y130" s="171" t="s">
        <v>466</v>
      </c>
      <c r="Z130" s="166">
        <v>9.5000000000000001E-2</v>
      </c>
      <c r="AA130" s="172">
        <v>513</v>
      </c>
      <c r="AB130" s="173" t="s">
        <v>13</v>
      </c>
      <c r="AD130" s="160" t="s">
        <v>467</v>
      </c>
      <c r="AE130" s="158">
        <f>OPEB_08</f>
        <v>0</v>
      </c>
    </row>
    <row r="131" spans="14:31" ht="15.95" customHeight="1" x14ac:dyDescent="0.25">
      <c r="N131" s="3"/>
      <c r="O131" s="3"/>
      <c r="Q131" s="13"/>
      <c r="Y131" s="171" t="s">
        <v>468</v>
      </c>
      <c r="Z131" s="166">
        <v>8.5000000000000006E-2</v>
      </c>
      <c r="AA131" s="172">
        <v>513</v>
      </c>
      <c r="AB131" s="173" t="s">
        <v>13</v>
      </c>
      <c r="AD131" s="160" t="s">
        <v>469</v>
      </c>
      <c r="AE131" s="158">
        <f>OPEB_09</f>
        <v>0</v>
      </c>
    </row>
    <row r="132" spans="14:31" ht="15.95" customHeight="1" x14ac:dyDescent="0.25">
      <c r="O132" s="3"/>
      <c r="Y132" s="171" t="s">
        <v>470</v>
      </c>
      <c r="Z132" s="166">
        <v>0.08</v>
      </c>
      <c r="AA132" s="172">
        <v>513</v>
      </c>
      <c r="AB132" s="173" t="s">
        <v>13</v>
      </c>
      <c r="AD132" s="160" t="s">
        <v>471</v>
      </c>
      <c r="AE132" s="158">
        <f>OPEB_10</f>
        <v>0</v>
      </c>
    </row>
    <row r="133" spans="14:31" ht="15.95" customHeight="1" x14ac:dyDescent="0.25">
      <c r="Y133" s="171" t="s">
        <v>472</v>
      </c>
      <c r="Z133" s="166">
        <v>0.06</v>
      </c>
      <c r="AA133" s="172">
        <v>317</v>
      </c>
      <c r="AB133" s="173" t="s">
        <v>37</v>
      </c>
      <c r="AD133" s="160" t="s">
        <v>473</v>
      </c>
      <c r="AE133" s="158">
        <f>OPEB_11</f>
        <v>0</v>
      </c>
    </row>
    <row r="134" spans="14:31" ht="15.95" customHeight="1" x14ac:dyDescent="0.25">
      <c r="Q134" s="13"/>
      <c r="Y134" s="171" t="s">
        <v>474</v>
      </c>
      <c r="Z134" s="166">
        <v>3.7499999999999999E-2</v>
      </c>
      <c r="AA134" s="172">
        <v>0</v>
      </c>
      <c r="AB134" s="173" t="s">
        <v>13</v>
      </c>
      <c r="AD134" s="160" t="s">
        <v>475</v>
      </c>
      <c r="AE134" s="157">
        <f>OPEB_12</f>
        <v>0</v>
      </c>
    </row>
    <row r="135" spans="14:31" ht="15.95" customHeight="1" x14ac:dyDescent="0.25">
      <c r="N135" s="5"/>
      <c r="Q135" s="13"/>
      <c r="Y135" s="171" t="s">
        <v>476</v>
      </c>
      <c r="Z135" s="166">
        <v>3.7499999999999999E-2</v>
      </c>
      <c r="AA135" s="172">
        <v>0</v>
      </c>
      <c r="AB135" s="173" t="s">
        <v>13</v>
      </c>
      <c r="AD135" s="160" t="s">
        <v>477</v>
      </c>
      <c r="AE135" s="157">
        <f>OPEB_13</f>
        <v>0</v>
      </c>
    </row>
    <row r="136" spans="14:31" ht="15.95" customHeight="1" x14ac:dyDescent="0.25">
      <c r="N136" s="5"/>
      <c r="Q136" s="13"/>
      <c r="Y136" s="171" t="s">
        <v>478</v>
      </c>
      <c r="Z136" s="166">
        <v>3.7499999999999999E-2</v>
      </c>
      <c r="AA136" s="172">
        <v>0</v>
      </c>
      <c r="AB136" s="173" t="s">
        <v>13</v>
      </c>
      <c r="AD136" s="160" t="s">
        <v>479</v>
      </c>
      <c r="AE136" s="158">
        <f>OPEB_14</f>
        <v>0</v>
      </c>
    </row>
    <row r="137" spans="14:31" ht="15.95" customHeight="1" x14ac:dyDescent="0.25">
      <c r="N137" s="5"/>
      <c r="Q137" s="13"/>
      <c r="Y137" s="171" t="s">
        <v>480</v>
      </c>
      <c r="Z137" s="166">
        <v>0.09</v>
      </c>
      <c r="AA137" s="172">
        <v>513</v>
      </c>
      <c r="AB137" s="173" t="s">
        <v>13</v>
      </c>
      <c r="AD137" s="160" t="s">
        <v>481</v>
      </c>
      <c r="AE137" s="158">
        <f>OPEB_15</f>
        <v>0</v>
      </c>
    </row>
    <row r="138" spans="14:31" ht="15.95" customHeight="1" x14ac:dyDescent="0.25">
      <c r="N138" s="5"/>
      <c r="Q138" s="13"/>
      <c r="Y138" s="171" t="s">
        <v>482</v>
      </c>
      <c r="Z138" s="166">
        <v>0.09</v>
      </c>
      <c r="AA138" s="172">
        <v>513</v>
      </c>
      <c r="AB138" s="173" t="s">
        <v>13</v>
      </c>
      <c r="AD138" s="160" t="s">
        <v>483</v>
      </c>
      <c r="AE138" s="158">
        <f>OPEB_16</f>
        <v>1.4E-2</v>
      </c>
    </row>
    <row r="139" spans="14:31" ht="15.95" customHeight="1" x14ac:dyDescent="0.25">
      <c r="N139" s="5"/>
      <c r="Q139" s="13"/>
      <c r="Y139" s="171" t="s">
        <v>484</v>
      </c>
      <c r="Z139" s="166">
        <v>0.03</v>
      </c>
      <c r="AA139" s="172">
        <v>513</v>
      </c>
      <c r="AB139" s="173" t="s">
        <v>13</v>
      </c>
      <c r="AD139" s="160" t="s">
        <v>485</v>
      </c>
      <c r="AE139" s="158">
        <f>OPEB_17</f>
        <v>0</v>
      </c>
    </row>
    <row r="140" spans="14:31" ht="15.95" customHeight="1" x14ac:dyDescent="0.25">
      <c r="N140" s="3"/>
      <c r="O140" s="3"/>
      <c r="Y140" s="171" t="s">
        <v>486</v>
      </c>
      <c r="Z140" s="166">
        <v>7.0000000000000007E-2</v>
      </c>
      <c r="AA140" s="172">
        <v>317</v>
      </c>
      <c r="AB140" s="173" t="s">
        <v>37</v>
      </c>
      <c r="AD140" s="160" t="s">
        <v>487</v>
      </c>
      <c r="AE140" s="158">
        <f>OPEB_18</f>
        <v>0</v>
      </c>
    </row>
    <row r="141" spans="14:31" ht="15.95" customHeight="1" x14ac:dyDescent="0.25">
      <c r="N141" s="5"/>
      <c r="Y141" s="171" t="s">
        <v>488</v>
      </c>
      <c r="Z141" s="166">
        <v>0.08</v>
      </c>
      <c r="AA141" s="172">
        <v>513</v>
      </c>
      <c r="AB141" s="173" t="s">
        <v>13</v>
      </c>
      <c r="AD141" s="160" t="s">
        <v>489</v>
      </c>
      <c r="AE141" s="158">
        <f>OPEB_19</f>
        <v>0</v>
      </c>
    </row>
    <row r="142" spans="14:31" ht="15.95" customHeight="1" x14ac:dyDescent="0.25">
      <c r="N142" s="5"/>
      <c r="Q142" s="13"/>
      <c r="Y142" s="171" t="s">
        <v>490</v>
      </c>
      <c r="Z142" s="166">
        <v>0.11</v>
      </c>
      <c r="AA142" s="172">
        <v>317</v>
      </c>
      <c r="AB142" s="173" t="s">
        <v>37</v>
      </c>
      <c r="AD142" s="160" t="s">
        <v>491</v>
      </c>
      <c r="AE142" s="158">
        <f>OPEB_20</f>
        <v>0</v>
      </c>
    </row>
    <row r="143" spans="14:31" ht="15.95" customHeight="1" x14ac:dyDescent="0.25">
      <c r="N143" s="5"/>
      <c r="Q143" s="13"/>
      <c r="Y143" s="171" t="s">
        <v>492</v>
      </c>
      <c r="Z143" s="166">
        <v>0.11</v>
      </c>
      <c r="AA143" s="172">
        <v>317</v>
      </c>
      <c r="AB143" s="173" t="s">
        <v>22</v>
      </c>
      <c r="AD143" s="160" t="s">
        <v>493</v>
      </c>
      <c r="AE143" s="158">
        <f>OPEB_21</f>
        <v>0</v>
      </c>
    </row>
    <row r="144" spans="14:31" ht="15.95" customHeight="1" x14ac:dyDescent="0.25">
      <c r="N144" s="5"/>
      <c r="Q144" s="13"/>
      <c r="Y144" s="171" t="s">
        <v>494</v>
      </c>
      <c r="Z144" s="166">
        <v>0.08</v>
      </c>
      <c r="AA144" s="172">
        <v>513</v>
      </c>
      <c r="AB144" s="173" t="s">
        <v>13</v>
      </c>
      <c r="AD144" s="160" t="s">
        <v>495</v>
      </c>
      <c r="AE144" s="158">
        <f>OPEB_01</f>
        <v>0</v>
      </c>
    </row>
    <row r="145" spans="14:31" ht="15.95" customHeight="1" x14ac:dyDescent="0.25">
      <c r="N145" s="5"/>
      <c r="Q145" s="13"/>
      <c r="Y145" s="171" t="s">
        <v>496</v>
      </c>
      <c r="Z145" s="166">
        <v>0.08</v>
      </c>
      <c r="AA145" s="172">
        <v>513</v>
      </c>
      <c r="AB145" s="173" t="s">
        <v>13</v>
      </c>
      <c r="AD145" s="160" t="s">
        <v>497</v>
      </c>
      <c r="AE145" s="157">
        <f>OPEB_02</f>
        <v>0</v>
      </c>
    </row>
    <row r="146" spans="14:31" ht="15.95" customHeight="1" x14ac:dyDescent="0.25">
      <c r="N146" s="5"/>
      <c r="Q146" s="13"/>
      <c r="Y146" s="171" t="s">
        <v>498</v>
      </c>
      <c r="Z146" s="166">
        <v>3.7499999999999999E-2</v>
      </c>
      <c r="AA146" s="172">
        <v>0</v>
      </c>
      <c r="AB146" s="173" t="s">
        <v>13</v>
      </c>
      <c r="AD146" s="160" t="s">
        <v>499</v>
      </c>
      <c r="AE146" s="158">
        <f>OPEB_03</f>
        <v>0</v>
      </c>
    </row>
    <row r="147" spans="14:31" ht="15.95" customHeight="1" x14ac:dyDescent="0.25">
      <c r="Q147" s="13"/>
      <c r="Y147" s="171" t="s">
        <v>500</v>
      </c>
      <c r="Z147" s="166">
        <v>3.7499999999999999E-2</v>
      </c>
      <c r="AA147" s="172">
        <v>0</v>
      </c>
      <c r="AB147" s="173" t="s">
        <v>13</v>
      </c>
      <c r="AD147" s="160" t="s">
        <v>501</v>
      </c>
      <c r="AE147" s="158">
        <f>OPEB_04</f>
        <v>0</v>
      </c>
    </row>
    <row r="148" spans="14:31" ht="15.95" customHeight="1" x14ac:dyDescent="0.25">
      <c r="Y148" s="171" t="s">
        <v>502</v>
      </c>
      <c r="Z148" s="166">
        <v>0.1</v>
      </c>
      <c r="AA148" s="172">
        <v>513</v>
      </c>
      <c r="AB148" s="173" t="s">
        <v>13</v>
      </c>
      <c r="AD148" s="160" t="s">
        <v>503</v>
      </c>
      <c r="AE148" s="157">
        <f>OPEB_05</f>
        <v>0</v>
      </c>
    </row>
    <row r="149" spans="14:31" ht="15.95" customHeight="1" x14ac:dyDescent="0.25">
      <c r="Y149" s="171" t="s">
        <v>504</v>
      </c>
      <c r="Z149" s="166">
        <v>0.08</v>
      </c>
      <c r="AA149" s="172">
        <v>0</v>
      </c>
      <c r="AB149" s="173" t="s">
        <v>37</v>
      </c>
      <c r="AD149" s="160" t="s">
        <v>505</v>
      </c>
      <c r="AE149" s="158">
        <f>OPEB_06</f>
        <v>0.04</v>
      </c>
    </row>
    <row r="150" spans="14:31" ht="15.95" customHeight="1" x14ac:dyDescent="0.25">
      <c r="Q150" s="13"/>
      <c r="Y150" s="171" t="s">
        <v>506</v>
      </c>
      <c r="Z150" s="166">
        <v>0.08</v>
      </c>
      <c r="AA150" s="172">
        <v>513</v>
      </c>
      <c r="AB150" s="173" t="s">
        <v>13</v>
      </c>
      <c r="AD150" s="160" t="s">
        <v>507</v>
      </c>
      <c r="AE150" s="158">
        <f>OPEB_07</f>
        <v>0</v>
      </c>
    </row>
    <row r="151" spans="14:31" ht="15.95" customHeight="1" x14ac:dyDescent="0.25">
      <c r="Q151" s="13"/>
      <c r="Y151" s="171" t="s">
        <v>508</v>
      </c>
      <c r="Z151" s="166">
        <v>0.1</v>
      </c>
      <c r="AA151" s="172">
        <v>513</v>
      </c>
      <c r="AB151" s="173" t="s">
        <v>13</v>
      </c>
      <c r="AD151" s="160" t="s">
        <v>509</v>
      </c>
      <c r="AE151" s="158">
        <f>OPEB_08</f>
        <v>0</v>
      </c>
    </row>
    <row r="152" spans="14:31" ht="15.95" customHeight="1" x14ac:dyDescent="0.25">
      <c r="Q152" s="13"/>
      <c r="Y152" s="171" t="s">
        <v>510</v>
      </c>
      <c r="Z152" s="166">
        <v>9.5000000000000001E-2</v>
      </c>
      <c r="AA152" s="172">
        <v>513</v>
      </c>
      <c r="AB152" s="173" t="s">
        <v>13</v>
      </c>
      <c r="AD152" s="160" t="s">
        <v>511</v>
      </c>
      <c r="AE152" s="158">
        <f>OPEB_09</f>
        <v>0</v>
      </c>
    </row>
    <row r="153" spans="14:31" ht="15.95" customHeight="1" x14ac:dyDescent="0.25">
      <c r="Q153" s="13"/>
      <c r="Y153" s="171" t="s">
        <v>512</v>
      </c>
      <c r="Z153" s="166">
        <v>3.7499999999999999E-2</v>
      </c>
      <c r="AA153" s="172">
        <v>0</v>
      </c>
      <c r="AB153" s="173" t="s">
        <v>13</v>
      </c>
      <c r="AD153" s="160" t="s">
        <v>513</v>
      </c>
      <c r="AE153" s="158">
        <f>OPEB_10</f>
        <v>0</v>
      </c>
    </row>
    <row r="154" spans="14:31" ht="15.95" customHeight="1" x14ac:dyDescent="0.25">
      <c r="Q154" s="13"/>
      <c r="Y154" s="171" t="s">
        <v>514</v>
      </c>
      <c r="Z154" s="166">
        <v>0</v>
      </c>
      <c r="AA154" s="172">
        <v>0</v>
      </c>
      <c r="AB154" s="173" t="s">
        <v>13</v>
      </c>
      <c r="AD154" s="160" t="s">
        <v>515</v>
      </c>
      <c r="AE154" s="158">
        <f>OPEB_11</f>
        <v>0</v>
      </c>
    </row>
    <row r="155" spans="14:31" ht="15.95" customHeight="1" x14ac:dyDescent="0.25">
      <c r="Q155" s="13"/>
      <c r="Y155" s="171" t="s">
        <v>167</v>
      </c>
      <c r="Z155" s="166">
        <v>0.08</v>
      </c>
      <c r="AA155" s="172">
        <v>238</v>
      </c>
      <c r="AB155" s="173" t="s">
        <v>22</v>
      </c>
      <c r="AD155" s="160" t="s">
        <v>516</v>
      </c>
      <c r="AE155" s="157">
        <f>OPEB_12</f>
        <v>0</v>
      </c>
    </row>
    <row r="156" spans="14:31" ht="15.95" customHeight="1" x14ac:dyDescent="0.25">
      <c r="Y156" s="171" t="s">
        <v>517</v>
      </c>
      <c r="Z156" s="166">
        <v>0.08</v>
      </c>
      <c r="AA156" s="172">
        <v>238</v>
      </c>
      <c r="AB156" s="173" t="s">
        <v>37</v>
      </c>
      <c r="AD156" s="160" t="s">
        <v>518</v>
      </c>
      <c r="AE156" s="157">
        <f>OPEB_13</f>
        <v>0</v>
      </c>
    </row>
    <row r="157" spans="14:31" ht="15.95" customHeight="1" x14ac:dyDescent="0.25">
      <c r="Y157" s="171" t="s">
        <v>519</v>
      </c>
      <c r="Z157" s="166">
        <v>0.08</v>
      </c>
      <c r="AA157" s="172">
        <v>238</v>
      </c>
      <c r="AB157" s="173" t="s">
        <v>22</v>
      </c>
      <c r="AD157" s="160" t="s">
        <v>520</v>
      </c>
      <c r="AE157" s="158">
        <f>OPEB_14</f>
        <v>0</v>
      </c>
    </row>
    <row r="158" spans="14:31" ht="15.95" customHeight="1" x14ac:dyDescent="0.25">
      <c r="Q158" s="13"/>
      <c r="Y158" s="171" t="s">
        <v>521</v>
      </c>
      <c r="Z158" s="166">
        <v>0.08</v>
      </c>
      <c r="AA158" s="172">
        <v>238</v>
      </c>
      <c r="AB158" s="173" t="s">
        <v>37</v>
      </c>
      <c r="AD158" s="160" t="s">
        <v>522</v>
      </c>
      <c r="AE158" s="158">
        <f>OPEB_15</f>
        <v>0</v>
      </c>
    </row>
    <row r="159" spans="14:31" ht="15.95" customHeight="1" x14ac:dyDescent="0.25">
      <c r="Q159" s="13"/>
      <c r="Y159" s="171" t="s">
        <v>523</v>
      </c>
      <c r="Z159" s="166">
        <v>0.08</v>
      </c>
      <c r="AA159" s="172">
        <v>238</v>
      </c>
      <c r="AB159" s="173" t="s">
        <v>22</v>
      </c>
      <c r="AD159" s="160" t="s">
        <v>524</v>
      </c>
      <c r="AE159" s="158">
        <f>OPEB_16</f>
        <v>1.4E-2</v>
      </c>
    </row>
    <row r="160" spans="14:31" ht="15.95" customHeight="1" x14ac:dyDescent="0.25">
      <c r="Q160" s="13"/>
      <c r="Y160" s="171" t="s">
        <v>525</v>
      </c>
      <c r="Z160" s="166">
        <v>0.13</v>
      </c>
      <c r="AA160" s="172">
        <v>863</v>
      </c>
      <c r="AB160" s="173" t="s">
        <v>37</v>
      </c>
      <c r="AD160" s="160" t="s">
        <v>526</v>
      </c>
      <c r="AE160" s="158">
        <f>OPEB_17</f>
        <v>0</v>
      </c>
    </row>
    <row r="161" spans="17:31" ht="15.95" customHeight="1" x14ac:dyDescent="0.25">
      <c r="Q161" s="13"/>
      <c r="Y161" s="171" t="s">
        <v>527</v>
      </c>
      <c r="Z161" s="166">
        <v>0.08</v>
      </c>
      <c r="AA161" s="172">
        <v>863</v>
      </c>
      <c r="AB161" s="173" t="s">
        <v>22</v>
      </c>
      <c r="AD161" s="160" t="s">
        <v>528</v>
      </c>
      <c r="AE161" s="158">
        <f>OPEB_18</f>
        <v>0</v>
      </c>
    </row>
    <row r="162" spans="17:31" ht="15.95" customHeight="1" x14ac:dyDescent="0.25">
      <c r="Q162" s="13"/>
      <c r="Y162" s="171" t="s">
        <v>529</v>
      </c>
      <c r="Z162" s="166">
        <v>0.08</v>
      </c>
      <c r="AA162" s="172">
        <v>513</v>
      </c>
      <c r="AB162" s="173" t="s">
        <v>37</v>
      </c>
      <c r="AD162" s="160" t="s">
        <v>530</v>
      </c>
      <c r="AE162" s="158">
        <f>OPEB_19</f>
        <v>0</v>
      </c>
    </row>
    <row r="163" spans="17:31" ht="15.95" customHeight="1" x14ac:dyDescent="0.25">
      <c r="Q163" s="13"/>
      <c r="Y163" s="171" t="s">
        <v>169</v>
      </c>
      <c r="Z163" s="166">
        <v>0.08</v>
      </c>
      <c r="AA163" s="172">
        <v>513</v>
      </c>
      <c r="AB163" s="173" t="s">
        <v>22</v>
      </c>
      <c r="AD163" s="160" t="s">
        <v>531</v>
      </c>
      <c r="AE163" s="158">
        <f>OPEB_20</f>
        <v>0</v>
      </c>
    </row>
    <row r="164" spans="17:31" ht="15.95" customHeight="1" x14ac:dyDescent="0.25">
      <c r="Y164" s="171" t="s">
        <v>532</v>
      </c>
      <c r="Z164" s="166">
        <v>0.06</v>
      </c>
      <c r="AA164" s="172">
        <v>513</v>
      </c>
      <c r="AB164" s="173" t="s">
        <v>37</v>
      </c>
      <c r="AD164" s="161" t="s">
        <v>533</v>
      </c>
      <c r="AE164" s="159">
        <f>OPEB_21</f>
        <v>0</v>
      </c>
    </row>
    <row r="165" spans="17:31" ht="15.95" customHeight="1" x14ac:dyDescent="0.25">
      <c r="Y165" s="171" t="s">
        <v>534</v>
      </c>
      <c r="Z165" s="166">
        <v>0.15</v>
      </c>
      <c r="AA165" s="172">
        <v>863</v>
      </c>
      <c r="AB165" s="173" t="s">
        <v>22</v>
      </c>
    </row>
    <row r="166" spans="17:31" ht="15.95" customHeight="1" x14ac:dyDescent="0.25">
      <c r="Y166" s="171" t="s">
        <v>535</v>
      </c>
      <c r="Z166" s="166">
        <v>0.13</v>
      </c>
      <c r="AA166" s="172">
        <v>513</v>
      </c>
      <c r="AB166" s="173" t="s">
        <v>37</v>
      </c>
    </row>
    <row r="167" spans="17:31" ht="15.95" customHeight="1" x14ac:dyDescent="0.25">
      <c r="Y167" s="171" t="s">
        <v>536</v>
      </c>
      <c r="Z167" s="166">
        <v>0.13</v>
      </c>
      <c r="AA167" s="172">
        <v>513</v>
      </c>
      <c r="AB167" s="173" t="s">
        <v>22</v>
      </c>
    </row>
    <row r="168" spans="17:31" ht="15.95" customHeight="1" x14ac:dyDescent="0.25">
      <c r="Y168" s="171" t="s">
        <v>537</v>
      </c>
      <c r="Z168" s="166">
        <v>0.13</v>
      </c>
      <c r="AA168" s="172">
        <v>513</v>
      </c>
      <c r="AB168" s="173" t="s">
        <v>37</v>
      </c>
    </row>
    <row r="169" spans="17:31" ht="15.95" customHeight="1" x14ac:dyDescent="0.25">
      <c r="Y169" s="171" t="s">
        <v>538</v>
      </c>
      <c r="Z169" s="166">
        <v>0.13</v>
      </c>
      <c r="AA169" s="172">
        <v>513</v>
      </c>
      <c r="AB169" s="173" t="s">
        <v>22</v>
      </c>
    </row>
    <row r="170" spans="17:31" ht="15.95" customHeight="1" x14ac:dyDescent="0.25">
      <c r="Y170" s="171" t="s">
        <v>539</v>
      </c>
      <c r="Z170" s="166">
        <v>0.13</v>
      </c>
      <c r="AA170" s="172">
        <v>513</v>
      </c>
      <c r="AB170" s="173" t="s">
        <v>37</v>
      </c>
    </row>
    <row r="171" spans="17:31" ht="15.95" customHeight="1" x14ac:dyDescent="0.25">
      <c r="Y171" s="171" t="s">
        <v>540</v>
      </c>
      <c r="Z171" s="166">
        <v>0.13</v>
      </c>
      <c r="AA171" s="172">
        <v>513</v>
      </c>
      <c r="AB171" s="173" t="s">
        <v>22</v>
      </c>
    </row>
    <row r="172" spans="17:31" ht="15.95" customHeight="1" x14ac:dyDescent="0.25">
      <c r="Y172" s="171" t="s">
        <v>541</v>
      </c>
      <c r="Z172" s="166">
        <v>0.13</v>
      </c>
      <c r="AA172" s="172">
        <v>863</v>
      </c>
      <c r="AB172" s="173" t="s">
        <v>37</v>
      </c>
    </row>
    <row r="173" spans="17:31" ht="15.95" customHeight="1" x14ac:dyDescent="0.25">
      <c r="Y173" s="171" t="s">
        <v>542</v>
      </c>
      <c r="Z173" s="166">
        <v>0.13</v>
      </c>
      <c r="AA173" s="172">
        <v>863</v>
      </c>
      <c r="AB173" s="173" t="s">
        <v>22</v>
      </c>
    </row>
    <row r="174" spans="17:31" ht="15.95" customHeight="1" x14ac:dyDescent="0.25">
      <c r="Y174" s="171" t="s">
        <v>543</v>
      </c>
      <c r="Z174" s="166">
        <v>0.06</v>
      </c>
      <c r="AA174" s="172">
        <v>513</v>
      </c>
      <c r="AB174" s="173" t="s">
        <v>37</v>
      </c>
    </row>
    <row r="175" spans="17:31" ht="15.95" customHeight="1" x14ac:dyDescent="0.25">
      <c r="Y175" s="171" t="s">
        <v>544</v>
      </c>
      <c r="Z175" s="166">
        <v>0.06</v>
      </c>
      <c r="AA175" s="172">
        <v>513</v>
      </c>
      <c r="AB175" s="173" t="s">
        <v>22</v>
      </c>
    </row>
    <row r="176" spans="17:31" ht="15.95" customHeight="1" x14ac:dyDescent="0.25">
      <c r="Y176" s="171" t="s">
        <v>545</v>
      </c>
      <c r="Z176" s="166">
        <v>0.15</v>
      </c>
      <c r="AA176" s="172">
        <v>513</v>
      </c>
      <c r="AB176" s="173" t="s">
        <v>22</v>
      </c>
    </row>
    <row r="177" spans="16:28" ht="15.95" customHeight="1" x14ac:dyDescent="0.25">
      <c r="Y177" s="171" t="s">
        <v>546</v>
      </c>
      <c r="Z177" s="166">
        <v>0.14000000000000001</v>
      </c>
      <c r="AA177" s="172">
        <v>513</v>
      </c>
      <c r="AB177" s="173" t="s">
        <v>22</v>
      </c>
    </row>
    <row r="178" spans="16:28" ht="15.95" customHeight="1" x14ac:dyDescent="0.25">
      <c r="Y178" s="171" t="s">
        <v>547</v>
      </c>
      <c r="Z178" s="166">
        <v>0.15</v>
      </c>
      <c r="AA178" s="172">
        <v>513</v>
      </c>
      <c r="AB178" s="173" t="s">
        <v>37</v>
      </c>
    </row>
    <row r="179" spans="16:28" ht="15.95" customHeight="1" x14ac:dyDescent="0.25">
      <c r="Y179" s="171" t="s">
        <v>548</v>
      </c>
      <c r="Z179" s="166">
        <v>0.13</v>
      </c>
      <c r="AA179" s="172">
        <v>513</v>
      </c>
      <c r="AB179" s="173" t="s">
        <v>22</v>
      </c>
    </row>
    <row r="180" spans="16:28" ht="15.95" customHeight="1" x14ac:dyDescent="0.25">
      <c r="Y180" s="171" t="s">
        <v>549</v>
      </c>
      <c r="Z180" s="166">
        <v>0.11</v>
      </c>
      <c r="AA180" s="172">
        <v>863</v>
      </c>
      <c r="AB180" s="173" t="s">
        <v>37</v>
      </c>
    </row>
    <row r="181" spans="16:28" ht="15.95" customHeight="1" x14ac:dyDescent="0.25">
      <c r="P181" s="13"/>
      <c r="Y181" s="171" t="s">
        <v>550</v>
      </c>
      <c r="Z181" s="166">
        <v>0.13</v>
      </c>
      <c r="AA181" s="172">
        <v>863</v>
      </c>
      <c r="AB181" s="173" t="s">
        <v>22</v>
      </c>
    </row>
    <row r="182" spans="16:28" ht="15.95" customHeight="1" x14ac:dyDescent="0.25">
      <c r="P182" s="13"/>
      <c r="Y182" s="171" t="s">
        <v>551</v>
      </c>
      <c r="Z182" s="166">
        <v>0.11</v>
      </c>
      <c r="AA182" s="172">
        <v>513</v>
      </c>
      <c r="AB182" s="173" t="s">
        <v>37</v>
      </c>
    </row>
    <row r="183" spans="16:28" ht="15.95" customHeight="1" x14ac:dyDescent="0.25">
      <c r="P183" s="13"/>
      <c r="Y183" s="171" t="s">
        <v>552</v>
      </c>
      <c r="Z183" s="166">
        <v>0.14499999999999999</v>
      </c>
      <c r="AA183" s="172">
        <v>863</v>
      </c>
      <c r="AB183" s="173" t="s">
        <v>22</v>
      </c>
    </row>
    <row r="184" spans="16:28" ht="15.95" customHeight="1" x14ac:dyDescent="0.25">
      <c r="P184" s="13"/>
      <c r="Y184" s="171" t="s">
        <v>553</v>
      </c>
      <c r="Z184" s="166">
        <v>0.125</v>
      </c>
      <c r="AA184" s="172">
        <v>863</v>
      </c>
      <c r="AB184" s="173" t="s">
        <v>37</v>
      </c>
    </row>
    <row r="185" spans="16:28" ht="15.95" customHeight="1" x14ac:dyDescent="0.25">
      <c r="P185" s="13"/>
      <c r="Y185" s="171" t="s">
        <v>554</v>
      </c>
      <c r="Z185" s="166">
        <v>0.08</v>
      </c>
      <c r="AA185" s="172">
        <v>238</v>
      </c>
      <c r="AB185" s="173" t="s">
        <v>22</v>
      </c>
    </row>
    <row r="186" spans="16:28" ht="15.95" customHeight="1" x14ac:dyDescent="0.25">
      <c r="P186" s="13"/>
      <c r="Y186" s="171" t="s">
        <v>555</v>
      </c>
      <c r="Z186" s="166">
        <v>0.08</v>
      </c>
      <c r="AA186" s="172">
        <v>317</v>
      </c>
      <c r="AB186" s="173" t="s">
        <v>37</v>
      </c>
    </row>
    <row r="187" spans="16:28" ht="15.95" customHeight="1" x14ac:dyDescent="0.25">
      <c r="Y187" s="171" t="s">
        <v>174</v>
      </c>
      <c r="Z187" s="166">
        <v>0.01</v>
      </c>
      <c r="AA187" s="172">
        <v>317</v>
      </c>
      <c r="AB187" s="173" t="s">
        <v>22</v>
      </c>
    </row>
    <row r="188" spans="16:28" ht="15.95" customHeight="1" x14ac:dyDescent="0.25">
      <c r="Y188" s="171" t="s">
        <v>176</v>
      </c>
      <c r="Z188" s="166">
        <v>0.01</v>
      </c>
      <c r="AA188" s="172">
        <v>317</v>
      </c>
      <c r="AB188" s="173" t="s">
        <v>37</v>
      </c>
    </row>
    <row r="189" spans="16:28" ht="15.95" customHeight="1" x14ac:dyDescent="0.25">
      <c r="P189" s="13"/>
      <c r="Y189" s="171" t="s">
        <v>556</v>
      </c>
      <c r="Z189" s="166">
        <v>0.115</v>
      </c>
      <c r="AA189" s="172">
        <v>317</v>
      </c>
      <c r="AB189" s="173" t="s">
        <v>22</v>
      </c>
    </row>
    <row r="190" spans="16:28" ht="15.95" customHeight="1" x14ac:dyDescent="0.25">
      <c r="P190" s="13"/>
      <c r="Y190" s="171" t="s">
        <v>557</v>
      </c>
      <c r="Z190" s="166">
        <v>0.11</v>
      </c>
      <c r="AA190" s="172">
        <v>317</v>
      </c>
      <c r="AB190" s="173" t="s">
        <v>37</v>
      </c>
    </row>
    <row r="191" spans="16:28" ht="15.95" customHeight="1" x14ac:dyDescent="0.25">
      <c r="P191" s="13"/>
      <c r="Y191" s="171" t="s">
        <v>558</v>
      </c>
      <c r="Z191" s="166">
        <v>0.11</v>
      </c>
      <c r="AA191" s="172">
        <v>317</v>
      </c>
      <c r="AB191" s="173" t="s">
        <v>22</v>
      </c>
    </row>
    <row r="192" spans="16:28" ht="15.95" customHeight="1" x14ac:dyDescent="0.25">
      <c r="P192" s="13"/>
      <c r="Y192" s="171" t="s">
        <v>559</v>
      </c>
      <c r="Z192" s="166">
        <v>7.0000000000000007E-2</v>
      </c>
      <c r="AA192" s="172">
        <v>317</v>
      </c>
      <c r="AB192" s="173" t="s">
        <v>37</v>
      </c>
    </row>
    <row r="193" spans="16:28" ht="15.95" customHeight="1" x14ac:dyDescent="0.25">
      <c r="P193" s="13"/>
      <c r="Y193" s="171" t="s">
        <v>560</v>
      </c>
      <c r="Z193" s="166">
        <v>0.11</v>
      </c>
      <c r="AA193" s="172">
        <v>317</v>
      </c>
      <c r="AB193" s="173" t="s">
        <v>22</v>
      </c>
    </row>
    <row r="194" spans="16:28" ht="15.95" customHeight="1" x14ac:dyDescent="0.25">
      <c r="P194" s="13"/>
      <c r="Y194" s="171" t="s">
        <v>561</v>
      </c>
      <c r="Z194" s="166">
        <v>0.11</v>
      </c>
      <c r="AA194" s="172">
        <v>317</v>
      </c>
      <c r="AB194" s="173" t="s">
        <v>37</v>
      </c>
    </row>
    <row r="195" spans="16:28" ht="15.95" customHeight="1" x14ac:dyDescent="0.25">
      <c r="Y195" s="171" t="s">
        <v>562</v>
      </c>
      <c r="Z195" s="166">
        <v>0.14499999999999999</v>
      </c>
      <c r="AA195" s="172">
        <v>863</v>
      </c>
      <c r="AB195" s="173" t="s">
        <v>37</v>
      </c>
    </row>
    <row r="196" spans="16:28" ht="15.95" customHeight="1" x14ac:dyDescent="0.25">
      <c r="Y196" s="171" t="s">
        <v>563</v>
      </c>
      <c r="Z196" s="166">
        <v>0.14499999999999999</v>
      </c>
      <c r="AA196" s="172">
        <v>863</v>
      </c>
      <c r="AB196" s="173" t="s">
        <v>22</v>
      </c>
    </row>
    <row r="197" spans="16:28" ht="15.95" customHeight="1" x14ac:dyDescent="0.25">
      <c r="P197" s="13"/>
      <c r="Y197" s="171" t="s">
        <v>564</v>
      </c>
      <c r="Z197" s="166">
        <v>0.1</v>
      </c>
      <c r="AA197" s="172">
        <v>317</v>
      </c>
      <c r="AB197" s="173" t="s">
        <v>22</v>
      </c>
    </row>
    <row r="198" spans="16:28" ht="15.95" customHeight="1" x14ac:dyDescent="0.25">
      <c r="P198" s="13"/>
      <c r="Y198" s="171" t="s">
        <v>565</v>
      </c>
      <c r="Z198" s="166">
        <v>0.1</v>
      </c>
      <c r="AA198" s="172">
        <v>317</v>
      </c>
      <c r="AB198" s="173" t="s">
        <v>37</v>
      </c>
    </row>
    <row r="199" spans="16:28" ht="15.95" customHeight="1" x14ac:dyDescent="0.25">
      <c r="P199" s="13"/>
      <c r="Y199" s="171" t="s">
        <v>566</v>
      </c>
      <c r="Z199" s="166">
        <v>0.13500000000000001</v>
      </c>
      <c r="AA199" s="172">
        <v>317</v>
      </c>
      <c r="AB199" s="173" t="s">
        <v>37</v>
      </c>
    </row>
    <row r="200" spans="16:28" ht="15.95" customHeight="1" x14ac:dyDescent="0.25">
      <c r="P200" s="13"/>
      <c r="Y200" s="171" t="s">
        <v>567</v>
      </c>
      <c r="Z200" s="166">
        <v>0.13500000000000001</v>
      </c>
      <c r="AA200" s="172">
        <v>317</v>
      </c>
      <c r="AB200" s="173" t="s">
        <v>22</v>
      </c>
    </row>
    <row r="201" spans="16:28" ht="15.95" customHeight="1" x14ac:dyDescent="0.25">
      <c r="P201" s="13"/>
      <c r="Y201" s="171" t="s">
        <v>568</v>
      </c>
      <c r="Z201" s="166">
        <v>0.13500000000000001</v>
      </c>
      <c r="AA201" s="172">
        <v>317</v>
      </c>
      <c r="AB201" s="173" t="s">
        <v>22</v>
      </c>
    </row>
    <row r="202" spans="16:28" ht="15.95" customHeight="1" x14ac:dyDescent="0.25">
      <c r="P202" s="13"/>
      <c r="Y202" s="171" t="s">
        <v>569</v>
      </c>
      <c r="Z202" s="166">
        <v>0.115</v>
      </c>
      <c r="AA202" s="172">
        <v>317</v>
      </c>
      <c r="AB202" s="173" t="s">
        <v>22</v>
      </c>
    </row>
    <row r="203" spans="16:28" ht="15.95" customHeight="1" x14ac:dyDescent="0.25">
      <c r="Y203" s="171" t="s">
        <v>570</v>
      </c>
      <c r="Z203" s="166">
        <v>0.115</v>
      </c>
      <c r="AA203" s="172">
        <v>317</v>
      </c>
      <c r="AB203" s="173" t="s">
        <v>37</v>
      </c>
    </row>
    <row r="204" spans="16:28" ht="15.95" customHeight="1" x14ac:dyDescent="0.25">
      <c r="Y204" s="171" t="s">
        <v>571</v>
      </c>
      <c r="Z204" s="166">
        <v>0.115</v>
      </c>
      <c r="AA204" s="172">
        <v>317</v>
      </c>
      <c r="AB204" s="173" t="s">
        <v>22</v>
      </c>
    </row>
    <row r="205" spans="16:28" ht="15.95" customHeight="1" x14ac:dyDescent="0.25">
      <c r="Y205" s="171" t="s">
        <v>572</v>
      </c>
      <c r="Z205" s="166">
        <v>0.115</v>
      </c>
      <c r="AA205" s="172">
        <v>317</v>
      </c>
      <c r="AB205" s="173" t="s">
        <v>22</v>
      </c>
    </row>
    <row r="206" spans="16:28" ht="15.95" customHeight="1" x14ac:dyDescent="0.25">
      <c r="Y206" s="171" t="s">
        <v>573</v>
      </c>
      <c r="Z206" s="166">
        <v>0.115</v>
      </c>
      <c r="AA206" s="172">
        <v>317</v>
      </c>
      <c r="AB206" s="173" t="s">
        <v>22</v>
      </c>
    </row>
    <row r="207" spans="16:28" ht="15.95" customHeight="1" x14ac:dyDescent="0.25">
      <c r="Y207" s="171" t="s">
        <v>574</v>
      </c>
      <c r="Z207" s="166">
        <v>0.115</v>
      </c>
      <c r="AA207" s="172">
        <v>317</v>
      </c>
      <c r="AB207" s="173" t="s">
        <v>37</v>
      </c>
    </row>
    <row r="208" spans="16:28" ht="15.95" customHeight="1" x14ac:dyDescent="0.25">
      <c r="Y208" s="171" t="s">
        <v>575</v>
      </c>
      <c r="Z208" s="166">
        <v>0.115</v>
      </c>
      <c r="AA208" s="172">
        <v>317</v>
      </c>
      <c r="AB208" s="173" t="s">
        <v>22</v>
      </c>
    </row>
    <row r="209" spans="25:28" ht="15.95" customHeight="1" x14ac:dyDescent="0.25">
      <c r="Y209" s="171" t="s">
        <v>576</v>
      </c>
      <c r="Z209" s="166">
        <v>0.115</v>
      </c>
      <c r="AA209" s="172">
        <v>317</v>
      </c>
      <c r="AB209" s="173" t="s">
        <v>37</v>
      </c>
    </row>
    <row r="210" spans="25:28" ht="15.95" customHeight="1" x14ac:dyDescent="0.25">
      <c r="Y210" s="171" t="s">
        <v>577</v>
      </c>
      <c r="Z210" s="166">
        <v>0.115</v>
      </c>
      <c r="AA210" s="172">
        <v>317</v>
      </c>
      <c r="AB210" s="173" t="s">
        <v>22</v>
      </c>
    </row>
    <row r="211" spans="25:28" ht="15.95" customHeight="1" x14ac:dyDescent="0.25">
      <c r="Y211" s="171" t="s">
        <v>578</v>
      </c>
      <c r="Z211" s="166">
        <v>0.115</v>
      </c>
      <c r="AA211" s="172">
        <v>317</v>
      </c>
      <c r="AB211" s="173" t="s">
        <v>22</v>
      </c>
    </row>
    <row r="212" spans="25:28" ht="15.95" customHeight="1" x14ac:dyDescent="0.25">
      <c r="Y212" s="171" t="s">
        <v>579</v>
      </c>
      <c r="Z212" s="166">
        <v>0.115</v>
      </c>
      <c r="AA212" s="172">
        <v>317</v>
      </c>
      <c r="AB212" s="173" t="s">
        <v>22</v>
      </c>
    </row>
    <row r="213" spans="25:28" ht="15.95" customHeight="1" x14ac:dyDescent="0.25">
      <c r="Y213" s="171" t="s">
        <v>580</v>
      </c>
      <c r="Z213" s="166">
        <v>0.115</v>
      </c>
      <c r="AA213" s="172">
        <v>317</v>
      </c>
      <c r="AB213" s="173" t="s">
        <v>22</v>
      </c>
    </row>
    <row r="214" spans="25:28" ht="15.95" customHeight="1" x14ac:dyDescent="0.25">
      <c r="Y214" s="171" t="s">
        <v>581</v>
      </c>
      <c r="Z214" s="166">
        <v>0.06</v>
      </c>
      <c r="AA214" s="172">
        <v>317</v>
      </c>
      <c r="AB214" s="173" t="s">
        <v>22</v>
      </c>
    </row>
    <row r="215" spans="25:28" ht="15.95" customHeight="1" x14ac:dyDescent="0.25">
      <c r="Y215" s="171" t="s">
        <v>582</v>
      </c>
      <c r="Z215" s="166">
        <v>0.06</v>
      </c>
      <c r="AA215" s="172">
        <v>317</v>
      </c>
      <c r="AB215" s="173" t="s">
        <v>37</v>
      </c>
    </row>
    <row r="216" spans="25:28" ht="15.95" customHeight="1" x14ac:dyDescent="0.25">
      <c r="Y216" s="171" t="s">
        <v>583</v>
      </c>
      <c r="Z216" s="166">
        <v>0</v>
      </c>
      <c r="AA216" s="172">
        <v>238</v>
      </c>
      <c r="AB216" s="173" t="s">
        <v>37</v>
      </c>
    </row>
    <row r="217" spans="25:28" ht="15.95" customHeight="1" x14ac:dyDescent="0.25">
      <c r="Y217" s="171" t="s">
        <v>584</v>
      </c>
      <c r="Z217" s="166">
        <v>0.08</v>
      </c>
      <c r="AA217" s="172">
        <v>238</v>
      </c>
      <c r="AB217" s="173" t="s">
        <v>37</v>
      </c>
    </row>
    <row r="218" spans="25:28" ht="15.95" customHeight="1" x14ac:dyDescent="0.25">
      <c r="Y218" s="171" t="s">
        <v>193</v>
      </c>
      <c r="Z218" s="166">
        <v>0</v>
      </c>
      <c r="AA218" s="172">
        <v>238</v>
      </c>
      <c r="AB218" s="173" t="s">
        <v>22</v>
      </c>
    </row>
    <row r="219" spans="25:28" ht="15.95" customHeight="1" x14ac:dyDescent="0.25">
      <c r="Y219" s="171" t="s">
        <v>196</v>
      </c>
      <c r="Z219" s="166">
        <v>0.08</v>
      </c>
      <c r="AA219" s="172">
        <v>238</v>
      </c>
      <c r="AB219" s="173" t="s">
        <v>22</v>
      </c>
    </row>
    <row r="220" spans="25:28" ht="15.95" customHeight="1" x14ac:dyDescent="0.25">
      <c r="Y220" s="171" t="s">
        <v>585</v>
      </c>
      <c r="Z220" s="166">
        <v>0</v>
      </c>
      <c r="AA220" s="172">
        <v>0</v>
      </c>
      <c r="AB220" s="173" t="s">
        <v>37</v>
      </c>
    </row>
    <row r="221" spans="25:28" ht="15.95" customHeight="1" x14ac:dyDescent="0.25">
      <c r="Y221" s="171" t="s">
        <v>586</v>
      </c>
      <c r="Z221" s="166">
        <v>0</v>
      </c>
      <c r="AA221" s="172">
        <v>0</v>
      </c>
      <c r="AB221" s="173" t="s">
        <v>37</v>
      </c>
    </row>
    <row r="222" spans="25:28" ht="15.95" customHeight="1" x14ac:dyDescent="0.25">
      <c r="Y222" s="171" t="s">
        <v>587</v>
      </c>
      <c r="Z222" s="166">
        <v>0.01</v>
      </c>
      <c r="AA222" s="172">
        <v>317</v>
      </c>
      <c r="AB222" s="173" t="s">
        <v>37</v>
      </c>
    </row>
    <row r="223" spans="25:28" ht="15.95" customHeight="1" x14ac:dyDescent="0.25">
      <c r="Y223" s="171" t="s">
        <v>588</v>
      </c>
      <c r="Z223" s="166">
        <v>0.05</v>
      </c>
      <c r="AA223" s="172">
        <v>513</v>
      </c>
      <c r="AB223" s="173" t="s">
        <v>13</v>
      </c>
    </row>
    <row r="224" spans="25:28" ht="15.95" customHeight="1" x14ac:dyDescent="0.25">
      <c r="Y224" s="171" t="s">
        <v>589</v>
      </c>
      <c r="Z224" s="166">
        <v>3.7499999999999999E-2</v>
      </c>
      <c r="AA224" s="172">
        <v>0</v>
      </c>
      <c r="AB224" s="173" t="s">
        <v>13</v>
      </c>
    </row>
    <row r="225" spans="25:28" ht="15.95" customHeight="1" x14ac:dyDescent="0.25">
      <c r="Y225" s="171" t="s">
        <v>590</v>
      </c>
      <c r="Z225" s="166">
        <v>3.7499999999999999E-2</v>
      </c>
      <c r="AA225" s="172">
        <v>0</v>
      </c>
      <c r="AB225" s="173" t="s">
        <v>13</v>
      </c>
    </row>
    <row r="226" spans="25:28" ht="15.95" customHeight="1" x14ac:dyDescent="0.25">
      <c r="Y226" s="171" t="s">
        <v>201</v>
      </c>
      <c r="Z226" s="166">
        <v>0.01</v>
      </c>
      <c r="AA226" s="172">
        <v>317</v>
      </c>
      <c r="AB226" s="173" t="s">
        <v>22</v>
      </c>
    </row>
    <row r="227" spans="25:28" ht="15.95" customHeight="1" x14ac:dyDescent="0.25">
      <c r="Y227" s="171" t="s">
        <v>206</v>
      </c>
      <c r="Z227" s="166">
        <v>1.4999999999999999E-2</v>
      </c>
      <c r="AA227" s="172">
        <v>0</v>
      </c>
      <c r="AB227" s="173" t="s">
        <v>22</v>
      </c>
    </row>
    <row r="228" spans="25:28" ht="15.95" customHeight="1" x14ac:dyDescent="0.25">
      <c r="Y228" s="171" t="s">
        <v>210</v>
      </c>
      <c r="Z228" s="166">
        <v>0</v>
      </c>
      <c r="AA228" s="172">
        <v>513</v>
      </c>
      <c r="AB228" s="173" t="s">
        <v>13</v>
      </c>
    </row>
    <row r="229" spans="25:28" ht="15.95" customHeight="1" x14ac:dyDescent="0.25">
      <c r="Y229" s="171" t="s">
        <v>591</v>
      </c>
      <c r="Z229" s="166">
        <v>0.09</v>
      </c>
      <c r="AA229" s="172">
        <v>513</v>
      </c>
      <c r="AB229" s="173" t="s">
        <v>13</v>
      </c>
    </row>
    <row r="230" spans="25:28" ht="15.95" customHeight="1" x14ac:dyDescent="0.25">
      <c r="Y230" s="171" t="s">
        <v>592</v>
      </c>
      <c r="Z230" s="166">
        <v>0.09</v>
      </c>
      <c r="AA230" s="172">
        <v>513</v>
      </c>
      <c r="AB230" s="173" t="s">
        <v>13</v>
      </c>
    </row>
    <row r="231" spans="25:28" ht="15.95" customHeight="1" x14ac:dyDescent="0.25">
      <c r="Y231" s="171" t="s">
        <v>593</v>
      </c>
      <c r="Z231" s="166">
        <v>0.09</v>
      </c>
      <c r="AA231" s="172">
        <v>513</v>
      </c>
      <c r="AB231" s="173" t="s">
        <v>13</v>
      </c>
    </row>
    <row r="232" spans="25:28" ht="15.95" customHeight="1" x14ac:dyDescent="0.25">
      <c r="Y232" s="171" t="s">
        <v>594</v>
      </c>
      <c r="Z232" s="166">
        <v>3.7499999999999999E-2</v>
      </c>
      <c r="AA232" s="172">
        <v>0</v>
      </c>
      <c r="AB232" s="173" t="s">
        <v>13</v>
      </c>
    </row>
    <row r="233" spans="25:28" ht="15.95" customHeight="1" x14ac:dyDescent="0.25">
      <c r="Y233" s="171" t="s">
        <v>595</v>
      </c>
      <c r="Z233" s="166">
        <v>0.105</v>
      </c>
      <c r="AA233" s="172">
        <v>317</v>
      </c>
      <c r="AB233" s="173" t="s">
        <v>37</v>
      </c>
    </row>
    <row r="234" spans="25:28" ht="15.95" customHeight="1" x14ac:dyDescent="0.25">
      <c r="Y234" s="171" t="s">
        <v>596</v>
      </c>
      <c r="Z234" s="166">
        <v>0.11</v>
      </c>
      <c r="AA234" s="172">
        <v>317</v>
      </c>
      <c r="AB234" s="173" t="s">
        <v>22</v>
      </c>
    </row>
    <row r="235" spans="25:28" ht="15.95" customHeight="1" x14ac:dyDescent="0.25">
      <c r="Y235" s="171" t="s">
        <v>597</v>
      </c>
      <c r="Z235" s="166">
        <v>0.1</v>
      </c>
      <c r="AA235" s="172">
        <v>513</v>
      </c>
      <c r="AB235" s="173" t="s">
        <v>13</v>
      </c>
    </row>
    <row r="236" spans="25:28" ht="15.95" customHeight="1" x14ac:dyDescent="0.25">
      <c r="Y236" s="171" t="s">
        <v>598</v>
      </c>
      <c r="Z236" s="166">
        <v>0.11</v>
      </c>
      <c r="AA236" s="172">
        <v>317</v>
      </c>
      <c r="AB236" s="173" t="s">
        <v>37</v>
      </c>
    </row>
    <row r="237" spans="25:28" ht="15.95" customHeight="1" x14ac:dyDescent="0.25">
      <c r="Y237" s="171" t="s">
        <v>599</v>
      </c>
      <c r="Z237" s="166">
        <v>0.105</v>
      </c>
      <c r="AA237" s="172">
        <v>317</v>
      </c>
      <c r="AB237" s="173" t="s">
        <v>22</v>
      </c>
    </row>
    <row r="238" spans="25:28" ht="15.95" customHeight="1" x14ac:dyDescent="0.25">
      <c r="Y238" s="171" t="s">
        <v>600</v>
      </c>
      <c r="Z238" s="166">
        <v>0.05</v>
      </c>
      <c r="AA238" s="172">
        <v>513</v>
      </c>
      <c r="AB238" s="173" t="s">
        <v>13</v>
      </c>
    </row>
    <row r="239" spans="25:28" ht="15.95" customHeight="1" x14ac:dyDescent="0.25">
      <c r="Y239" s="171" t="s">
        <v>601</v>
      </c>
      <c r="Z239" s="166">
        <v>9.5000000000000001E-2</v>
      </c>
      <c r="AA239" s="172">
        <v>513</v>
      </c>
      <c r="AB239" s="173" t="s">
        <v>13</v>
      </c>
    </row>
    <row r="240" spans="25:28" ht="15.95" customHeight="1" x14ac:dyDescent="0.25">
      <c r="Y240" s="171" t="s">
        <v>602</v>
      </c>
      <c r="Z240" s="166">
        <v>0.1</v>
      </c>
      <c r="AA240" s="172">
        <v>513</v>
      </c>
      <c r="AB240" s="173" t="s">
        <v>13</v>
      </c>
    </row>
    <row r="241" spans="25:28" ht="15.95" customHeight="1" x14ac:dyDescent="0.25">
      <c r="Y241" s="171" t="s">
        <v>603</v>
      </c>
      <c r="Z241" s="166">
        <v>0.09</v>
      </c>
      <c r="AA241" s="172">
        <v>513</v>
      </c>
      <c r="AB241" s="173" t="s">
        <v>13</v>
      </c>
    </row>
    <row r="242" spans="25:28" ht="15.95" customHeight="1" x14ac:dyDescent="0.25">
      <c r="Y242" s="171" t="s">
        <v>604</v>
      </c>
      <c r="Z242" s="166">
        <v>0.09</v>
      </c>
      <c r="AA242" s="172">
        <v>513</v>
      </c>
      <c r="AB242" s="173" t="s">
        <v>13</v>
      </c>
    </row>
    <row r="243" spans="25:28" ht="15.95" customHeight="1" x14ac:dyDescent="0.25">
      <c r="Y243" s="171" t="s">
        <v>605</v>
      </c>
      <c r="Z243" s="166">
        <v>8.5000000000000006E-2</v>
      </c>
      <c r="AA243" s="172">
        <v>513</v>
      </c>
      <c r="AB243" s="173" t="s">
        <v>37</v>
      </c>
    </row>
    <row r="244" spans="25:28" ht="15.95" customHeight="1" x14ac:dyDescent="0.25">
      <c r="Y244" s="171" t="s">
        <v>606</v>
      </c>
      <c r="Z244" s="166">
        <v>0.105</v>
      </c>
      <c r="AA244" s="172">
        <v>317</v>
      </c>
      <c r="AB244" s="173" t="s">
        <v>22</v>
      </c>
    </row>
    <row r="245" spans="25:28" ht="15.95" customHeight="1" x14ac:dyDescent="0.25">
      <c r="Y245" s="171" t="s">
        <v>607</v>
      </c>
      <c r="Z245" s="166">
        <v>0.1</v>
      </c>
      <c r="AA245" s="172">
        <v>317</v>
      </c>
      <c r="AB245" s="173" t="s">
        <v>37</v>
      </c>
    </row>
    <row r="246" spans="25:28" ht="15.95" customHeight="1" x14ac:dyDescent="0.25">
      <c r="Y246" s="171" t="s">
        <v>608</v>
      </c>
      <c r="Z246" s="166">
        <v>0.1</v>
      </c>
      <c r="AA246" s="172">
        <v>317</v>
      </c>
      <c r="AB246" s="173" t="s">
        <v>22</v>
      </c>
    </row>
    <row r="247" spans="25:28" ht="15.95" customHeight="1" x14ac:dyDescent="0.25">
      <c r="Y247" s="171" t="s">
        <v>609</v>
      </c>
      <c r="Z247" s="166">
        <v>0.09</v>
      </c>
      <c r="AA247" s="172">
        <v>513</v>
      </c>
      <c r="AB247" s="173" t="s">
        <v>13</v>
      </c>
    </row>
    <row r="248" spans="25:28" ht="15.95" customHeight="1" x14ac:dyDescent="0.25">
      <c r="Y248" s="171" t="s">
        <v>610</v>
      </c>
      <c r="Z248" s="166">
        <v>0.09</v>
      </c>
      <c r="AA248" s="172">
        <v>513</v>
      </c>
      <c r="AB248" s="173" t="s">
        <v>13</v>
      </c>
    </row>
    <row r="249" spans="25:28" ht="15.95" customHeight="1" x14ac:dyDescent="0.25">
      <c r="Y249" s="171" t="s">
        <v>611</v>
      </c>
      <c r="Z249" s="166">
        <v>8.5000000000000006E-2</v>
      </c>
      <c r="AA249" s="172">
        <v>513</v>
      </c>
      <c r="AB249" s="173" t="s">
        <v>13</v>
      </c>
    </row>
    <row r="250" spans="25:28" ht="15.95" customHeight="1" x14ac:dyDescent="0.25">
      <c r="Y250" s="171" t="s">
        <v>612</v>
      </c>
      <c r="Z250" s="166">
        <v>0.1</v>
      </c>
      <c r="AA250" s="172">
        <v>513</v>
      </c>
      <c r="AB250" s="173" t="s">
        <v>13</v>
      </c>
    </row>
    <row r="251" spans="25:28" ht="15.95" customHeight="1" x14ac:dyDescent="0.25">
      <c r="Y251" s="171" t="s">
        <v>613</v>
      </c>
      <c r="Z251" s="166">
        <v>0.1</v>
      </c>
      <c r="AA251" s="172">
        <v>513</v>
      </c>
      <c r="AB251" s="173" t="s">
        <v>13</v>
      </c>
    </row>
    <row r="252" spans="25:28" ht="15.95" customHeight="1" x14ac:dyDescent="0.25">
      <c r="Y252" s="171" t="s">
        <v>614</v>
      </c>
      <c r="Z252" s="166">
        <v>0.1</v>
      </c>
      <c r="AA252" s="172">
        <v>513</v>
      </c>
      <c r="AB252" s="173" t="s">
        <v>13</v>
      </c>
    </row>
    <row r="253" spans="25:28" ht="15.95" customHeight="1" x14ac:dyDescent="0.25">
      <c r="Y253" s="171" t="s">
        <v>615</v>
      </c>
      <c r="Z253" s="166">
        <v>0.1</v>
      </c>
      <c r="AA253" s="172">
        <v>513</v>
      </c>
      <c r="AB253" s="173" t="s">
        <v>13</v>
      </c>
    </row>
    <row r="254" spans="25:28" ht="15.95" customHeight="1" x14ac:dyDescent="0.25">
      <c r="Y254" s="171" t="s">
        <v>616</v>
      </c>
      <c r="Z254" s="166">
        <v>0.1</v>
      </c>
      <c r="AA254" s="172">
        <v>513</v>
      </c>
      <c r="AB254" s="173" t="s">
        <v>13</v>
      </c>
    </row>
    <row r="255" spans="25:28" ht="15.95" customHeight="1" x14ac:dyDescent="0.25">
      <c r="Y255" s="171" t="s">
        <v>617</v>
      </c>
      <c r="Z255" s="166">
        <v>0.1</v>
      </c>
      <c r="AA255" s="172">
        <v>513</v>
      </c>
      <c r="AB255" s="173" t="s">
        <v>13</v>
      </c>
    </row>
    <row r="256" spans="25:28" ht="15.95" customHeight="1" x14ac:dyDescent="0.25">
      <c r="Y256" s="171" t="s">
        <v>618</v>
      </c>
      <c r="Z256" s="166">
        <v>0.1</v>
      </c>
      <c r="AA256" s="172">
        <v>513</v>
      </c>
      <c r="AB256" s="173" t="s">
        <v>13</v>
      </c>
    </row>
    <row r="257" spans="25:28" ht="15.95" customHeight="1" x14ac:dyDescent="0.25">
      <c r="Y257" s="171" t="s">
        <v>619</v>
      </c>
      <c r="Z257" s="166">
        <v>0.1</v>
      </c>
      <c r="AA257" s="172">
        <v>513</v>
      </c>
      <c r="AB257" s="173" t="s">
        <v>13</v>
      </c>
    </row>
    <row r="258" spans="25:28" ht="15.95" customHeight="1" x14ac:dyDescent="0.25">
      <c r="Y258" s="171" t="s">
        <v>620</v>
      </c>
      <c r="Z258" s="166">
        <v>0.05</v>
      </c>
      <c r="AA258" s="172">
        <v>513</v>
      </c>
      <c r="AB258" s="173" t="s">
        <v>13</v>
      </c>
    </row>
    <row r="259" spans="25:28" ht="15.95" customHeight="1" x14ac:dyDescent="0.25">
      <c r="Y259" s="171" t="s">
        <v>621</v>
      </c>
      <c r="Z259" s="166">
        <v>0.1</v>
      </c>
      <c r="AA259" s="172">
        <v>513</v>
      </c>
      <c r="AB259" s="173" t="s">
        <v>13</v>
      </c>
    </row>
    <row r="260" spans="25:28" ht="15.95" customHeight="1" x14ac:dyDescent="0.25">
      <c r="Y260" s="171" t="s">
        <v>622</v>
      </c>
      <c r="Z260" s="166">
        <v>0.125</v>
      </c>
      <c r="AA260" s="172">
        <v>513</v>
      </c>
      <c r="AB260" s="173" t="s">
        <v>13</v>
      </c>
    </row>
    <row r="261" spans="25:28" ht="15.95" customHeight="1" x14ac:dyDescent="0.25">
      <c r="Y261" s="171" t="s">
        <v>623</v>
      </c>
      <c r="Z261" s="166">
        <v>0.1</v>
      </c>
      <c r="AA261" s="172">
        <v>513</v>
      </c>
      <c r="AB261" s="173" t="s">
        <v>13</v>
      </c>
    </row>
    <row r="262" spans="25:28" ht="15.95" customHeight="1" x14ac:dyDescent="0.25">
      <c r="Y262" s="171" t="s">
        <v>624</v>
      </c>
      <c r="Z262" s="166">
        <v>0.1</v>
      </c>
      <c r="AA262" s="172">
        <v>513</v>
      </c>
      <c r="AB262" s="173" t="s">
        <v>13</v>
      </c>
    </row>
    <row r="263" spans="25:28" ht="15.95" customHeight="1" x14ac:dyDescent="0.25">
      <c r="Y263" s="171" t="s">
        <v>625</v>
      </c>
      <c r="Z263" s="166">
        <v>0.1</v>
      </c>
      <c r="AA263" s="172">
        <v>513</v>
      </c>
      <c r="AB263" s="173" t="s">
        <v>13</v>
      </c>
    </row>
    <row r="264" spans="25:28" ht="15.95" customHeight="1" x14ac:dyDescent="0.25">
      <c r="Y264" s="171" t="s">
        <v>626</v>
      </c>
      <c r="Z264" s="166">
        <v>0.08</v>
      </c>
      <c r="AA264" s="172">
        <v>513</v>
      </c>
      <c r="AB264" s="173" t="s">
        <v>13</v>
      </c>
    </row>
    <row r="265" spans="25:28" ht="15.95" customHeight="1" x14ac:dyDescent="0.25">
      <c r="Y265" s="171" t="s">
        <v>627</v>
      </c>
      <c r="Z265" s="166">
        <v>0.08</v>
      </c>
      <c r="AA265" s="172">
        <v>513</v>
      </c>
      <c r="AB265" s="173" t="s">
        <v>13</v>
      </c>
    </row>
    <row r="266" spans="25:28" ht="15.95" customHeight="1" x14ac:dyDescent="0.25">
      <c r="Y266" s="171" t="s">
        <v>628</v>
      </c>
      <c r="Z266" s="166">
        <v>0.09</v>
      </c>
      <c r="AA266" s="172">
        <v>513</v>
      </c>
      <c r="AB266" s="173" t="s">
        <v>13</v>
      </c>
    </row>
    <row r="267" spans="25:28" ht="15.95" customHeight="1" x14ac:dyDescent="0.25">
      <c r="Y267" s="171" t="s">
        <v>629</v>
      </c>
      <c r="Z267" s="166">
        <v>0.09</v>
      </c>
      <c r="AA267" s="172">
        <v>513</v>
      </c>
      <c r="AB267" s="173" t="s">
        <v>13</v>
      </c>
    </row>
    <row r="268" spans="25:28" ht="15.95" customHeight="1" x14ac:dyDescent="0.25">
      <c r="Y268" s="171" t="s">
        <v>630</v>
      </c>
      <c r="Z268" s="166">
        <v>0.08</v>
      </c>
      <c r="AA268" s="172">
        <v>513</v>
      </c>
      <c r="AB268" s="173" t="s">
        <v>13</v>
      </c>
    </row>
    <row r="269" spans="25:28" ht="15.95" customHeight="1" x14ac:dyDescent="0.25">
      <c r="Y269" s="171" t="s">
        <v>631</v>
      </c>
      <c r="Z269" s="166">
        <v>0.09</v>
      </c>
      <c r="AA269" s="172">
        <v>513</v>
      </c>
      <c r="AB269" s="173" t="s">
        <v>13</v>
      </c>
    </row>
    <row r="270" spans="25:28" ht="15.95" customHeight="1" x14ac:dyDescent="0.25">
      <c r="Y270" s="171" t="s">
        <v>632</v>
      </c>
      <c r="Z270" s="166">
        <v>0.125</v>
      </c>
      <c r="AA270" s="172">
        <v>513</v>
      </c>
      <c r="AB270" s="173" t="s">
        <v>13</v>
      </c>
    </row>
    <row r="271" spans="25:28" ht="15.95" customHeight="1" x14ac:dyDescent="0.25">
      <c r="Y271" s="171" t="s">
        <v>633</v>
      </c>
      <c r="Z271" s="166">
        <v>0.09</v>
      </c>
      <c r="AA271" s="172">
        <v>513</v>
      </c>
      <c r="AB271" s="173" t="s">
        <v>13</v>
      </c>
    </row>
    <row r="272" spans="25:28" ht="15.95" customHeight="1" x14ac:dyDescent="0.25">
      <c r="Y272" s="171" t="s">
        <v>634</v>
      </c>
      <c r="Z272" s="166">
        <v>0.09</v>
      </c>
      <c r="AA272" s="172">
        <v>513</v>
      </c>
      <c r="AB272" s="173" t="s">
        <v>13</v>
      </c>
    </row>
    <row r="273" spans="25:28" ht="15.95" customHeight="1" x14ac:dyDescent="0.25">
      <c r="Y273" s="171" t="s">
        <v>635</v>
      </c>
      <c r="Z273" s="166">
        <v>0.08</v>
      </c>
      <c r="AA273" s="172">
        <v>513</v>
      </c>
      <c r="AB273" s="173" t="s">
        <v>13</v>
      </c>
    </row>
    <row r="274" spans="25:28" ht="15.95" customHeight="1" x14ac:dyDescent="0.25">
      <c r="Y274" s="171" t="s">
        <v>636</v>
      </c>
      <c r="Z274" s="166">
        <v>9.5000000000000001E-2</v>
      </c>
      <c r="AA274" s="172">
        <v>513</v>
      </c>
      <c r="AB274" s="173" t="s">
        <v>13</v>
      </c>
    </row>
    <row r="275" spans="25:28" ht="15.95" customHeight="1" x14ac:dyDescent="0.25">
      <c r="Y275" s="171" t="s">
        <v>637</v>
      </c>
      <c r="Z275" s="166">
        <v>3.7499999999999999E-2</v>
      </c>
      <c r="AA275" s="172">
        <v>0</v>
      </c>
      <c r="AB275" s="173" t="s">
        <v>37</v>
      </c>
    </row>
    <row r="276" spans="25:28" ht="15.95" customHeight="1" x14ac:dyDescent="0.25">
      <c r="Y276" s="171" t="s">
        <v>638</v>
      </c>
      <c r="Z276" s="166">
        <v>3.7499999999999999E-2</v>
      </c>
      <c r="AA276" s="172">
        <v>0</v>
      </c>
      <c r="AB276" s="173" t="s">
        <v>13</v>
      </c>
    </row>
    <row r="277" spans="25:28" ht="15.95" customHeight="1" x14ac:dyDescent="0.25">
      <c r="Y277" s="171" t="s">
        <v>639</v>
      </c>
      <c r="Z277" s="166">
        <v>3.7499999999999999E-2</v>
      </c>
      <c r="AA277" s="172">
        <v>0</v>
      </c>
      <c r="AB277" s="173" t="s">
        <v>13</v>
      </c>
    </row>
    <row r="278" spans="25:28" ht="15.95" customHeight="1" x14ac:dyDescent="0.25">
      <c r="Y278" s="171" t="s">
        <v>640</v>
      </c>
      <c r="Z278" s="166">
        <v>9.5000000000000001E-2</v>
      </c>
      <c r="AA278" s="172">
        <v>513</v>
      </c>
      <c r="AB278" s="173" t="s">
        <v>13</v>
      </c>
    </row>
    <row r="279" spans="25:28" ht="15.95" customHeight="1" x14ac:dyDescent="0.25">
      <c r="Y279" s="171" t="s">
        <v>641</v>
      </c>
      <c r="Z279" s="166">
        <v>0.01</v>
      </c>
      <c r="AA279" s="172">
        <v>317</v>
      </c>
      <c r="AB279" s="173" t="s">
        <v>22</v>
      </c>
    </row>
    <row r="280" spans="25:28" ht="15.95" customHeight="1" x14ac:dyDescent="0.25">
      <c r="Y280" s="171" t="s">
        <v>642</v>
      </c>
      <c r="Z280" s="166">
        <v>0.08</v>
      </c>
      <c r="AA280" s="172">
        <v>513</v>
      </c>
      <c r="AB280" s="173" t="s">
        <v>13</v>
      </c>
    </row>
    <row r="281" spans="25:28" ht="15.95" customHeight="1" x14ac:dyDescent="0.25">
      <c r="Y281" s="171" t="s">
        <v>643</v>
      </c>
      <c r="Z281" s="166">
        <v>3.7499999999999999E-2</v>
      </c>
      <c r="AA281" s="172">
        <v>0</v>
      </c>
      <c r="AB281" s="173" t="s">
        <v>22</v>
      </c>
    </row>
    <row r="282" spans="25:28" ht="15.95" customHeight="1" x14ac:dyDescent="0.25">
      <c r="Y282" s="171" t="s">
        <v>644</v>
      </c>
      <c r="Z282" s="166">
        <v>0</v>
      </c>
      <c r="AA282" s="172">
        <v>0</v>
      </c>
      <c r="AB282" s="173" t="s">
        <v>37</v>
      </c>
    </row>
    <row r="283" spans="25:28" ht="15.95" customHeight="1" x14ac:dyDescent="0.25">
      <c r="Y283" s="171" t="s">
        <v>645</v>
      </c>
      <c r="Z283" s="166">
        <v>0.11</v>
      </c>
      <c r="AA283" s="172">
        <v>317</v>
      </c>
      <c r="AB283" s="173" t="s">
        <v>22</v>
      </c>
    </row>
    <row r="284" spans="25:28" ht="15.95" customHeight="1" x14ac:dyDescent="0.25">
      <c r="Y284" s="171" t="s">
        <v>646</v>
      </c>
      <c r="Z284" s="166">
        <v>0.11</v>
      </c>
      <c r="AA284" s="172">
        <v>317</v>
      </c>
      <c r="AB284" s="173" t="s">
        <v>37</v>
      </c>
    </row>
    <row r="285" spans="25:28" ht="15.95" customHeight="1" x14ac:dyDescent="0.25">
      <c r="Y285" s="171" t="s">
        <v>647</v>
      </c>
      <c r="Z285" s="166">
        <v>0.11</v>
      </c>
      <c r="AA285" s="172">
        <v>317</v>
      </c>
      <c r="AB285" s="173" t="s">
        <v>22</v>
      </c>
    </row>
    <row r="286" spans="25:28" ht="15.95" customHeight="1" x14ac:dyDescent="0.25">
      <c r="Y286" s="171" t="s">
        <v>648</v>
      </c>
      <c r="Z286" s="166">
        <v>0.11</v>
      </c>
      <c r="AA286" s="172">
        <v>317</v>
      </c>
      <c r="AB286" s="173" t="s">
        <v>22</v>
      </c>
    </row>
    <row r="287" spans="25:28" ht="15.95" customHeight="1" x14ac:dyDescent="0.25">
      <c r="Y287" s="171" t="s">
        <v>649</v>
      </c>
      <c r="Z287" s="166">
        <v>0.11</v>
      </c>
      <c r="AA287" s="172">
        <v>317</v>
      </c>
      <c r="AB287" s="173" t="s">
        <v>37</v>
      </c>
    </row>
    <row r="288" spans="25:28" ht="15.95" customHeight="1" x14ac:dyDescent="0.25">
      <c r="Y288" s="171" t="s">
        <v>650</v>
      </c>
      <c r="Z288" s="166">
        <v>0.11</v>
      </c>
      <c r="AA288" s="172">
        <v>317</v>
      </c>
      <c r="AB288" s="173" t="s">
        <v>22</v>
      </c>
    </row>
    <row r="289" spans="25:28" ht="15.95" customHeight="1" x14ac:dyDescent="0.25">
      <c r="Y289" s="171" t="s">
        <v>651</v>
      </c>
      <c r="Z289" s="166">
        <v>0.11</v>
      </c>
      <c r="AA289" s="172">
        <v>317</v>
      </c>
      <c r="AB289" s="173" t="s">
        <v>37</v>
      </c>
    </row>
    <row r="290" spans="25:28" ht="15.95" customHeight="1" x14ac:dyDescent="0.25">
      <c r="Y290" s="171" t="s">
        <v>652</v>
      </c>
      <c r="Z290" s="166">
        <v>0.11</v>
      </c>
      <c r="AA290" s="172">
        <v>317</v>
      </c>
      <c r="AB290" s="173" t="s">
        <v>37</v>
      </c>
    </row>
    <row r="291" spans="25:28" ht="15.95" customHeight="1" x14ac:dyDescent="0.25">
      <c r="Y291" s="171" t="s">
        <v>653</v>
      </c>
      <c r="Z291" s="166">
        <v>0.11</v>
      </c>
      <c r="AA291" s="172">
        <v>317</v>
      </c>
      <c r="AB291" s="173" t="s">
        <v>22</v>
      </c>
    </row>
    <row r="292" spans="25:28" ht="15.95" customHeight="1" x14ac:dyDescent="0.25">
      <c r="Y292" s="171" t="s">
        <v>654</v>
      </c>
      <c r="Z292" s="166">
        <v>0.11</v>
      </c>
      <c r="AA292" s="172">
        <v>317</v>
      </c>
      <c r="AB292" s="173" t="s">
        <v>22</v>
      </c>
    </row>
    <row r="293" spans="25:28" ht="15.95" customHeight="1" x14ac:dyDescent="0.25">
      <c r="Y293" s="171" t="s">
        <v>655</v>
      </c>
      <c r="Z293" s="166">
        <v>0.11</v>
      </c>
      <c r="AA293" s="172">
        <v>317</v>
      </c>
      <c r="AB293" s="173" t="s">
        <v>37</v>
      </c>
    </row>
    <row r="294" spans="25:28" ht="15.95" customHeight="1" x14ac:dyDescent="0.25">
      <c r="Y294" s="171" t="s">
        <v>656</v>
      </c>
      <c r="Z294" s="166">
        <v>0.11</v>
      </c>
      <c r="AA294" s="172">
        <v>317</v>
      </c>
      <c r="AB294" s="173" t="s">
        <v>22</v>
      </c>
    </row>
    <row r="295" spans="25:28" ht="15.95" customHeight="1" x14ac:dyDescent="0.25">
      <c r="Y295" s="171" t="s">
        <v>657</v>
      </c>
      <c r="Z295" s="166">
        <v>0.105</v>
      </c>
      <c r="AA295" s="172">
        <v>317</v>
      </c>
      <c r="AB295" s="173" t="s">
        <v>37</v>
      </c>
    </row>
    <row r="296" spans="25:28" ht="15.95" customHeight="1" x14ac:dyDescent="0.25">
      <c r="Y296" s="171" t="s">
        <v>658</v>
      </c>
      <c r="Z296" s="166">
        <v>0.11</v>
      </c>
      <c r="AA296" s="172">
        <v>317</v>
      </c>
      <c r="AB296" s="173" t="s">
        <v>37</v>
      </c>
    </row>
    <row r="297" spans="25:28" ht="15.95" customHeight="1" x14ac:dyDescent="0.25">
      <c r="Y297" s="171" t="s">
        <v>659</v>
      </c>
      <c r="Z297" s="166">
        <v>0.11</v>
      </c>
      <c r="AA297" s="172">
        <v>317</v>
      </c>
      <c r="AB297" s="173" t="s">
        <v>22</v>
      </c>
    </row>
    <row r="298" spans="25:28" ht="15.95" customHeight="1" x14ac:dyDescent="0.25">
      <c r="Y298" s="171" t="s">
        <v>660</v>
      </c>
      <c r="Z298" s="166">
        <v>0.11</v>
      </c>
      <c r="AA298" s="172">
        <v>317</v>
      </c>
      <c r="AB298" s="173" t="s">
        <v>37</v>
      </c>
    </row>
    <row r="299" spans="25:28" ht="15.95" customHeight="1" x14ac:dyDescent="0.25">
      <c r="Y299" s="171" t="s">
        <v>661</v>
      </c>
      <c r="Z299" s="166">
        <v>0.11</v>
      </c>
      <c r="AA299" s="172">
        <v>317</v>
      </c>
      <c r="AB299" s="173" t="s">
        <v>22</v>
      </c>
    </row>
    <row r="300" spans="25:28" ht="15.95" customHeight="1" x14ac:dyDescent="0.25">
      <c r="Y300" s="171" t="s">
        <v>662</v>
      </c>
      <c r="Z300" s="166">
        <v>0.11</v>
      </c>
      <c r="AA300" s="172">
        <v>317</v>
      </c>
      <c r="AB300" s="173" t="s">
        <v>37</v>
      </c>
    </row>
    <row r="301" spans="25:28" ht="15.95" customHeight="1" x14ac:dyDescent="0.25">
      <c r="Y301" s="171" t="s">
        <v>663</v>
      </c>
      <c r="Z301" s="166">
        <v>0.11</v>
      </c>
      <c r="AA301" s="172">
        <v>317</v>
      </c>
      <c r="AB301" s="173" t="s">
        <v>22</v>
      </c>
    </row>
    <row r="302" spans="25:28" ht="15.95" customHeight="1" x14ac:dyDescent="0.25">
      <c r="Y302" s="171" t="s">
        <v>664</v>
      </c>
      <c r="Z302" s="166">
        <v>0.13500000000000001</v>
      </c>
      <c r="AA302" s="172">
        <v>317</v>
      </c>
      <c r="AB302" s="173" t="s">
        <v>37</v>
      </c>
    </row>
    <row r="303" spans="25:28" ht="15.95" customHeight="1" x14ac:dyDescent="0.25">
      <c r="Y303" s="171" t="s">
        <v>665</v>
      </c>
      <c r="Z303" s="166">
        <v>0.13500000000000001</v>
      </c>
      <c r="AA303" s="172">
        <v>317</v>
      </c>
      <c r="AB303" s="173" t="s">
        <v>22</v>
      </c>
    </row>
    <row r="304" spans="25:28" ht="15.95" customHeight="1" x14ac:dyDescent="0.25">
      <c r="Y304" s="171" t="s">
        <v>666</v>
      </c>
      <c r="Z304" s="166">
        <v>0.08</v>
      </c>
      <c r="AA304" s="172">
        <v>513</v>
      </c>
      <c r="AB304" s="173" t="s">
        <v>13</v>
      </c>
    </row>
    <row r="305" spans="25:28" ht="15.95" customHeight="1" x14ac:dyDescent="0.25">
      <c r="Y305" s="171" t="s">
        <v>667</v>
      </c>
      <c r="Z305" s="166">
        <v>0.125</v>
      </c>
      <c r="AA305" s="172">
        <v>513</v>
      </c>
      <c r="AB305" s="173" t="s">
        <v>13</v>
      </c>
    </row>
    <row r="306" spans="25:28" ht="15.95" customHeight="1" x14ac:dyDescent="0.25">
      <c r="Y306" s="171" t="s">
        <v>668</v>
      </c>
      <c r="Z306" s="166">
        <v>0.08</v>
      </c>
      <c r="AA306" s="172">
        <v>513</v>
      </c>
      <c r="AB306" s="173" t="s">
        <v>13</v>
      </c>
    </row>
    <row r="307" spans="25:28" ht="15.95" customHeight="1" x14ac:dyDescent="0.25">
      <c r="Y307" s="171" t="s">
        <v>669</v>
      </c>
      <c r="Z307" s="166">
        <v>0.11</v>
      </c>
      <c r="AA307" s="172">
        <v>317</v>
      </c>
      <c r="AB307" s="173" t="s">
        <v>37</v>
      </c>
    </row>
    <row r="308" spans="25:28" ht="15.95" customHeight="1" x14ac:dyDescent="0.25">
      <c r="Y308" s="171" t="s">
        <v>670</v>
      </c>
      <c r="Z308" s="166">
        <v>0.11</v>
      </c>
      <c r="AA308" s="172">
        <v>317</v>
      </c>
      <c r="AB308" s="173" t="s">
        <v>22</v>
      </c>
    </row>
    <row r="309" spans="25:28" ht="15.95" customHeight="1" x14ac:dyDescent="0.25">
      <c r="Y309" s="171" t="s">
        <v>671</v>
      </c>
      <c r="Z309" s="166">
        <v>0.1</v>
      </c>
      <c r="AA309" s="172">
        <v>513</v>
      </c>
      <c r="AB309" s="173" t="s">
        <v>13</v>
      </c>
    </row>
    <row r="310" spans="25:28" ht="15.95" customHeight="1" x14ac:dyDescent="0.25">
      <c r="Y310" s="171" t="s">
        <v>672</v>
      </c>
      <c r="Z310" s="166">
        <v>0.1</v>
      </c>
      <c r="AA310" s="172">
        <v>513</v>
      </c>
      <c r="AB310" s="173" t="s">
        <v>13</v>
      </c>
    </row>
    <row r="311" spans="25:28" ht="15.95" customHeight="1" x14ac:dyDescent="0.25">
      <c r="Y311" s="171" t="s">
        <v>673</v>
      </c>
      <c r="Z311" s="166">
        <v>9.5000000000000001E-2</v>
      </c>
      <c r="AA311" s="172">
        <v>513</v>
      </c>
      <c r="AB311" s="173" t="s">
        <v>13</v>
      </c>
    </row>
    <row r="312" spans="25:28" ht="15.95" customHeight="1" x14ac:dyDescent="0.25">
      <c r="Y312" s="171" t="s">
        <v>674</v>
      </c>
      <c r="Z312" s="166">
        <v>0.1</v>
      </c>
      <c r="AA312" s="172">
        <v>513</v>
      </c>
      <c r="AB312" s="173" t="s">
        <v>13</v>
      </c>
    </row>
    <row r="313" spans="25:28" ht="15.95" customHeight="1" x14ac:dyDescent="0.25">
      <c r="Y313" s="171" t="s">
        <v>675</v>
      </c>
      <c r="Z313" s="166">
        <v>9.5000000000000001E-2</v>
      </c>
      <c r="AA313" s="172">
        <v>513</v>
      </c>
      <c r="AB313" s="173" t="s">
        <v>13</v>
      </c>
    </row>
    <row r="314" spans="25:28" ht="15.95" customHeight="1" x14ac:dyDescent="0.25">
      <c r="Y314" s="171" t="s">
        <v>676</v>
      </c>
      <c r="Z314" s="166">
        <v>0.1</v>
      </c>
      <c r="AA314" s="172">
        <v>513</v>
      </c>
      <c r="AB314" s="173" t="s">
        <v>13</v>
      </c>
    </row>
    <row r="315" spans="25:28" ht="15.95" customHeight="1" x14ac:dyDescent="0.25">
      <c r="Y315" s="171" t="s">
        <v>677</v>
      </c>
      <c r="Z315" s="166">
        <v>0.08</v>
      </c>
      <c r="AA315" s="172">
        <v>513</v>
      </c>
      <c r="AB315" s="173" t="s">
        <v>13</v>
      </c>
    </row>
    <row r="316" spans="25:28" ht="15.95" customHeight="1" x14ac:dyDescent="0.25">
      <c r="Y316" s="171" t="s">
        <v>678</v>
      </c>
      <c r="Z316" s="166">
        <v>0.1</v>
      </c>
      <c r="AA316" s="172">
        <v>513</v>
      </c>
      <c r="AB316" s="173" t="s">
        <v>13</v>
      </c>
    </row>
    <row r="317" spans="25:28" ht="15.95" customHeight="1" x14ac:dyDescent="0.25">
      <c r="Y317" s="171" t="s">
        <v>679</v>
      </c>
      <c r="Z317" s="166">
        <v>0.09</v>
      </c>
      <c r="AA317" s="172">
        <v>317</v>
      </c>
      <c r="AB317" s="173" t="s">
        <v>37</v>
      </c>
    </row>
    <row r="318" spans="25:28" ht="15.95" customHeight="1" x14ac:dyDescent="0.25">
      <c r="Y318" s="171" t="s">
        <v>680</v>
      </c>
      <c r="Z318" s="166">
        <v>0.1</v>
      </c>
      <c r="AA318" s="172">
        <v>513</v>
      </c>
      <c r="AB318" s="173" t="s">
        <v>13</v>
      </c>
    </row>
    <row r="319" spans="25:28" ht="15.95" customHeight="1" x14ac:dyDescent="0.25">
      <c r="Y319" s="171" t="s">
        <v>681</v>
      </c>
      <c r="Z319" s="166">
        <v>0.08</v>
      </c>
      <c r="AA319" s="172">
        <v>513</v>
      </c>
      <c r="AB319" s="173" t="s">
        <v>13</v>
      </c>
    </row>
    <row r="320" spans="25:28" ht="15.95" customHeight="1" x14ac:dyDescent="0.25">
      <c r="Y320" s="171" t="s">
        <v>682</v>
      </c>
      <c r="Z320" s="166">
        <v>0.125</v>
      </c>
      <c r="AA320" s="172">
        <v>513</v>
      </c>
      <c r="AB320" s="173" t="s">
        <v>13</v>
      </c>
    </row>
    <row r="321" spans="25:28" ht="15.95" customHeight="1" x14ac:dyDescent="0.25">
      <c r="Y321" s="171" t="s">
        <v>683</v>
      </c>
      <c r="Z321" s="166">
        <v>0.08</v>
      </c>
      <c r="AA321" s="172">
        <v>513</v>
      </c>
      <c r="AB321" s="173" t="s">
        <v>13</v>
      </c>
    </row>
    <row r="322" spans="25:28" ht="15.95" customHeight="1" x14ac:dyDescent="0.25">
      <c r="Y322" s="171" t="s">
        <v>684</v>
      </c>
      <c r="Z322" s="166">
        <v>0.1</v>
      </c>
      <c r="AA322" s="172">
        <v>317</v>
      </c>
      <c r="AB322" s="173" t="s">
        <v>37</v>
      </c>
    </row>
    <row r="323" spans="25:28" ht="15.95" customHeight="1" x14ac:dyDescent="0.25">
      <c r="Y323" s="171" t="s">
        <v>685</v>
      </c>
      <c r="Z323" s="166">
        <v>0.08</v>
      </c>
      <c r="AA323" s="172">
        <v>513</v>
      </c>
      <c r="AB323" s="173" t="s">
        <v>13</v>
      </c>
    </row>
    <row r="324" spans="25:28" ht="15.95" customHeight="1" x14ac:dyDescent="0.25">
      <c r="Y324" s="171" t="s">
        <v>686</v>
      </c>
      <c r="Z324" s="166">
        <v>0.09</v>
      </c>
      <c r="AA324" s="172">
        <v>317</v>
      </c>
      <c r="AB324" s="173" t="s">
        <v>37</v>
      </c>
    </row>
    <row r="325" spans="25:28" ht="15.95" customHeight="1" x14ac:dyDescent="0.25">
      <c r="Y325" s="171" t="s">
        <v>687</v>
      </c>
      <c r="Z325" s="166">
        <v>0.09</v>
      </c>
      <c r="AA325" s="172">
        <v>317</v>
      </c>
      <c r="AB325" s="173" t="s">
        <v>22</v>
      </c>
    </row>
    <row r="326" spans="25:28" ht="15.95" customHeight="1" x14ac:dyDescent="0.25">
      <c r="Y326" s="171" t="s">
        <v>688</v>
      </c>
      <c r="Z326" s="166">
        <v>0.09</v>
      </c>
      <c r="AA326" s="172">
        <v>513</v>
      </c>
      <c r="AB326" s="173" t="s">
        <v>13</v>
      </c>
    </row>
    <row r="327" spans="25:28" ht="15.95" customHeight="1" x14ac:dyDescent="0.25">
      <c r="Y327" s="171" t="s">
        <v>689</v>
      </c>
      <c r="Z327" s="166">
        <v>0.105</v>
      </c>
      <c r="AA327" s="172">
        <v>317</v>
      </c>
      <c r="AB327" s="173" t="s">
        <v>37</v>
      </c>
    </row>
    <row r="328" spans="25:28" ht="15.95" customHeight="1" x14ac:dyDescent="0.25">
      <c r="Y328" s="171" t="s">
        <v>690</v>
      </c>
      <c r="Z328" s="166">
        <v>0.13</v>
      </c>
      <c r="AA328" s="172">
        <v>513</v>
      </c>
      <c r="AB328" s="173" t="s">
        <v>22</v>
      </c>
    </row>
    <row r="329" spans="25:28" ht="15.95" customHeight="1" x14ac:dyDescent="0.25">
      <c r="Y329" s="171" t="s">
        <v>691</v>
      </c>
      <c r="Z329" s="166">
        <v>0.13</v>
      </c>
      <c r="AA329" s="172">
        <v>863</v>
      </c>
      <c r="AB329" s="173" t="s">
        <v>37</v>
      </c>
    </row>
    <row r="330" spans="25:28" ht="15.95" customHeight="1" x14ac:dyDescent="0.25">
      <c r="Y330" s="171" t="s">
        <v>692</v>
      </c>
      <c r="Z330" s="166">
        <v>0.13</v>
      </c>
      <c r="AA330" s="172">
        <v>863</v>
      </c>
      <c r="AB330" s="173" t="s">
        <v>22</v>
      </c>
    </row>
    <row r="331" spans="25:28" ht="15.95" customHeight="1" x14ac:dyDescent="0.25">
      <c r="Y331" s="171" t="s">
        <v>693</v>
      </c>
      <c r="Z331" s="166">
        <v>0.13</v>
      </c>
      <c r="AA331" s="172">
        <v>863</v>
      </c>
      <c r="AB331" s="173" t="s">
        <v>37</v>
      </c>
    </row>
    <row r="332" spans="25:28" ht="15.95" customHeight="1" x14ac:dyDescent="0.25">
      <c r="Y332" s="171" t="s">
        <v>694</v>
      </c>
      <c r="Z332" s="166">
        <v>0.13</v>
      </c>
      <c r="AA332" s="172">
        <v>863</v>
      </c>
      <c r="AB332" s="173" t="s">
        <v>22</v>
      </c>
    </row>
    <row r="333" spans="25:28" ht="15.95" customHeight="1" x14ac:dyDescent="0.25">
      <c r="Y333" s="171" t="s">
        <v>695</v>
      </c>
      <c r="Z333" s="166">
        <v>0.13</v>
      </c>
      <c r="AA333" s="172">
        <v>863</v>
      </c>
      <c r="AB333" s="173" t="s">
        <v>37</v>
      </c>
    </row>
    <row r="334" spans="25:28" ht="15.95" customHeight="1" x14ac:dyDescent="0.25">
      <c r="Y334" s="171" t="s">
        <v>696</v>
      </c>
      <c r="Z334" s="166">
        <v>0.13</v>
      </c>
      <c r="AA334" s="172">
        <v>863</v>
      </c>
      <c r="AB334" s="173" t="s">
        <v>22</v>
      </c>
    </row>
    <row r="335" spans="25:28" ht="15.95" customHeight="1" x14ac:dyDescent="0.25">
      <c r="Y335" s="171" t="s">
        <v>697</v>
      </c>
      <c r="Z335" s="166">
        <v>9.5000000000000001E-2</v>
      </c>
      <c r="AA335" s="172">
        <v>317</v>
      </c>
      <c r="AB335" s="173" t="s">
        <v>37</v>
      </c>
    </row>
    <row r="336" spans="25:28" ht="15.95" customHeight="1" x14ac:dyDescent="0.25">
      <c r="Y336" s="171" t="s">
        <v>698</v>
      </c>
      <c r="Z336" s="166">
        <v>0.09</v>
      </c>
      <c r="AA336" s="172">
        <v>513</v>
      </c>
      <c r="AB336" s="173" t="s">
        <v>13</v>
      </c>
    </row>
    <row r="337" spans="25:28" ht="15.95" customHeight="1" x14ac:dyDescent="0.25">
      <c r="Y337" s="171" t="s">
        <v>699</v>
      </c>
      <c r="Z337" s="166">
        <v>0.13</v>
      </c>
      <c r="AA337" s="172">
        <v>863</v>
      </c>
      <c r="AB337" s="173" t="s">
        <v>22</v>
      </c>
    </row>
    <row r="338" spans="25:28" ht="15.95" customHeight="1" x14ac:dyDescent="0.25">
      <c r="Y338" s="171" t="s">
        <v>700</v>
      </c>
      <c r="Z338" s="166">
        <v>0.125</v>
      </c>
      <c r="AA338" s="172">
        <v>863</v>
      </c>
      <c r="AB338" s="173" t="s">
        <v>37</v>
      </c>
    </row>
    <row r="339" spans="25:28" ht="15.95" customHeight="1" x14ac:dyDescent="0.25">
      <c r="Y339" s="171" t="s">
        <v>701</v>
      </c>
      <c r="Z339" s="166">
        <v>0.13</v>
      </c>
      <c r="AA339" s="172">
        <v>863</v>
      </c>
      <c r="AB339" s="173" t="s">
        <v>22</v>
      </c>
    </row>
    <row r="340" spans="25:28" ht="15.95" customHeight="1" x14ac:dyDescent="0.25">
      <c r="Y340" s="171" t="s">
        <v>702</v>
      </c>
      <c r="Z340" s="166">
        <v>0.125</v>
      </c>
      <c r="AA340" s="172">
        <v>863</v>
      </c>
      <c r="AB340" s="173" t="s">
        <v>22</v>
      </c>
    </row>
    <row r="341" spans="25:28" ht="15.95" customHeight="1" x14ac:dyDescent="0.25">
      <c r="Y341" s="171" t="s">
        <v>703</v>
      </c>
      <c r="Z341" s="166">
        <v>0.13</v>
      </c>
      <c r="AA341" s="172">
        <v>513</v>
      </c>
      <c r="AB341" s="173" t="s">
        <v>22</v>
      </c>
    </row>
    <row r="342" spans="25:28" ht="15.95" customHeight="1" x14ac:dyDescent="0.25">
      <c r="Y342" s="171" t="s">
        <v>704</v>
      </c>
      <c r="Z342" s="166">
        <v>0.105</v>
      </c>
      <c r="AA342" s="172">
        <v>317</v>
      </c>
      <c r="AB342" s="173" t="s">
        <v>37</v>
      </c>
    </row>
    <row r="343" spans="25:28" ht="15.95" customHeight="1" x14ac:dyDescent="0.25">
      <c r="Y343" s="171" t="s">
        <v>705</v>
      </c>
      <c r="Z343" s="166">
        <v>3.7499999999999999E-2</v>
      </c>
      <c r="AA343" s="172">
        <v>0</v>
      </c>
      <c r="AB343" s="173" t="s">
        <v>13</v>
      </c>
    </row>
    <row r="344" spans="25:28" ht="15.95" customHeight="1" x14ac:dyDescent="0.25">
      <c r="Y344" s="171" t="s">
        <v>706</v>
      </c>
      <c r="Z344" s="166">
        <v>0.06</v>
      </c>
      <c r="AA344" s="172">
        <v>317</v>
      </c>
      <c r="AB344" s="173" t="s">
        <v>22</v>
      </c>
    </row>
    <row r="345" spans="25:28" ht="15.95" customHeight="1" x14ac:dyDescent="0.25">
      <c r="Y345" s="171" t="s">
        <v>707</v>
      </c>
      <c r="Z345" s="166">
        <v>3.7499999999999999E-2</v>
      </c>
      <c r="AA345" s="172">
        <v>0</v>
      </c>
      <c r="AB345" s="173" t="s">
        <v>13</v>
      </c>
    </row>
    <row r="346" spans="25:28" ht="15.95" customHeight="1" x14ac:dyDescent="0.25">
      <c r="Y346" s="171" t="s">
        <v>708</v>
      </c>
      <c r="Z346" s="166">
        <v>0.08</v>
      </c>
      <c r="AA346" s="172">
        <v>513</v>
      </c>
      <c r="AB346" s="173" t="s">
        <v>13</v>
      </c>
    </row>
    <row r="347" spans="25:28" ht="15.95" customHeight="1" x14ac:dyDescent="0.25">
      <c r="Y347" s="171" t="s">
        <v>709</v>
      </c>
      <c r="Z347" s="166">
        <v>3.7499999999999999E-2</v>
      </c>
      <c r="AA347" s="172">
        <v>0</v>
      </c>
      <c r="AB347" s="173" t="s">
        <v>13</v>
      </c>
    </row>
    <row r="348" spans="25:28" ht="15.95" customHeight="1" x14ac:dyDescent="0.25">
      <c r="Y348" s="171" t="s">
        <v>710</v>
      </c>
      <c r="Z348" s="166">
        <v>0.06</v>
      </c>
      <c r="AA348" s="172">
        <v>317</v>
      </c>
      <c r="AB348" s="173" t="s">
        <v>22</v>
      </c>
    </row>
    <row r="349" spans="25:28" ht="15.95" customHeight="1" x14ac:dyDescent="0.25">
      <c r="Y349" s="171" t="s">
        <v>711</v>
      </c>
      <c r="Z349" s="166">
        <v>9.5000000000000001E-2</v>
      </c>
      <c r="AA349" s="172">
        <v>513</v>
      </c>
      <c r="AB349" s="173" t="s">
        <v>13</v>
      </c>
    </row>
    <row r="350" spans="25:28" ht="15.95" customHeight="1" x14ac:dyDescent="0.25">
      <c r="Y350" s="171" t="s">
        <v>712</v>
      </c>
      <c r="Z350" s="166">
        <v>0.08</v>
      </c>
      <c r="AA350" s="172">
        <v>513</v>
      </c>
      <c r="AB350" s="173" t="s">
        <v>13</v>
      </c>
    </row>
    <row r="351" spans="25:28" ht="15.95" customHeight="1" x14ac:dyDescent="0.25">
      <c r="Y351" s="171" t="s">
        <v>712</v>
      </c>
      <c r="Z351" s="166">
        <v>0.08</v>
      </c>
      <c r="AA351" s="172">
        <v>513</v>
      </c>
      <c r="AB351" s="173" t="s">
        <v>13</v>
      </c>
    </row>
    <row r="352" spans="25:28" ht="15.95" customHeight="1" x14ac:dyDescent="0.25">
      <c r="Y352" s="171" t="s">
        <v>713</v>
      </c>
      <c r="Z352" s="166">
        <v>0.08</v>
      </c>
      <c r="AA352" s="172">
        <v>513</v>
      </c>
      <c r="AB352" s="173" t="s">
        <v>13</v>
      </c>
    </row>
    <row r="353" spans="25:28" ht="15.95" customHeight="1" x14ac:dyDescent="0.25">
      <c r="Y353" s="171" t="s">
        <v>714</v>
      </c>
      <c r="Z353" s="166">
        <v>3.7499999999999999E-2</v>
      </c>
      <c r="AA353" s="172">
        <v>0</v>
      </c>
      <c r="AB353" s="173" t="s">
        <v>13</v>
      </c>
    </row>
    <row r="354" spans="25:28" ht="15.95" customHeight="1" x14ac:dyDescent="0.25">
      <c r="Y354" s="171" t="s">
        <v>715</v>
      </c>
      <c r="Z354" s="166">
        <v>3.7499999999999999E-2</v>
      </c>
      <c r="AA354" s="172">
        <v>0</v>
      </c>
      <c r="AB354" s="173" t="s">
        <v>13</v>
      </c>
    </row>
    <row r="355" spans="25:28" ht="15.95" customHeight="1" x14ac:dyDescent="0.25">
      <c r="Y355" s="171" t="s">
        <v>716</v>
      </c>
      <c r="Z355" s="166">
        <v>0.09</v>
      </c>
      <c r="AA355" s="172">
        <v>513</v>
      </c>
      <c r="AB355" s="173" t="s">
        <v>13</v>
      </c>
    </row>
    <row r="356" spans="25:28" ht="15.95" customHeight="1" x14ac:dyDescent="0.25">
      <c r="Y356" s="171" t="s">
        <v>717</v>
      </c>
      <c r="Z356" s="166">
        <v>0.09</v>
      </c>
      <c r="AA356" s="172">
        <v>513</v>
      </c>
      <c r="AB356" s="173" t="s">
        <v>13</v>
      </c>
    </row>
    <row r="357" spans="25:28" ht="15.95" customHeight="1" x14ac:dyDescent="0.25">
      <c r="Y357" s="171" t="s">
        <v>718</v>
      </c>
      <c r="Z357" s="166">
        <v>0.08</v>
      </c>
      <c r="AA357" s="172">
        <v>513</v>
      </c>
      <c r="AB357" s="173" t="s">
        <v>13</v>
      </c>
    </row>
    <row r="358" spans="25:28" ht="15.95" customHeight="1" x14ac:dyDescent="0.25">
      <c r="Y358" s="171" t="s">
        <v>719</v>
      </c>
      <c r="Z358" s="166">
        <v>0.08</v>
      </c>
      <c r="AA358" s="172">
        <v>513</v>
      </c>
      <c r="AB358" s="173" t="s">
        <v>13</v>
      </c>
    </row>
    <row r="359" spans="25:28" ht="15.95" customHeight="1" x14ac:dyDescent="0.25">
      <c r="Y359" s="171" t="s">
        <v>720</v>
      </c>
      <c r="Z359" s="166">
        <v>3.7499999999999999E-2</v>
      </c>
      <c r="AA359" s="172">
        <v>0</v>
      </c>
      <c r="AB359" s="173" t="s">
        <v>13</v>
      </c>
    </row>
    <row r="360" spans="25:28" ht="15.95" customHeight="1" x14ac:dyDescent="0.25">
      <c r="Y360" s="171" t="s">
        <v>721</v>
      </c>
      <c r="Z360" s="166">
        <v>3.7499999999999999E-2</v>
      </c>
      <c r="AA360" s="172">
        <v>0</v>
      </c>
      <c r="AB360" s="173" t="s">
        <v>13</v>
      </c>
    </row>
    <row r="361" spans="25:28" ht="15.95" customHeight="1" x14ac:dyDescent="0.25">
      <c r="Y361" s="171" t="s">
        <v>722</v>
      </c>
      <c r="Z361" s="166">
        <v>0.1</v>
      </c>
      <c r="AA361" s="172">
        <v>513</v>
      </c>
      <c r="AB361" s="173" t="s">
        <v>13</v>
      </c>
    </row>
    <row r="362" spans="25:28" ht="15.95" customHeight="1" x14ac:dyDescent="0.25">
      <c r="Y362" s="171" t="s">
        <v>723</v>
      </c>
      <c r="Z362" s="166">
        <v>0.08</v>
      </c>
      <c r="AA362" s="172">
        <v>513</v>
      </c>
      <c r="AB362" s="173" t="s">
        <v>13</v>
      </c>
    </row>
    <row r="363" spans="25:28" ht="15.95" customHeight="1" x14ac:dyDescent="0.25">
      <c r="Y363" s="171" t="s">
        <v>724</v>
      </c>
      <c r="Z363" s="166">
        <v>0.1</v>
      </c>
      <c r="AA363" s="172">
        <v>513</v>
      </c>
      <c r="AB363" s="173" t="s">
        <v>13</v>
      </c>
    </row>
    <row r="364" spans="25:28" ht="15.95" customHeight="1" x14ac:dyDescent="0.25">
      <c r="Y364" s="171" t="s">
        <v>725</v>
      </c>
      <c r="Z364" s="166">
        <v>9.5000000000000001E-2</v>
      </c>
      <c r="AA364" s="172">
        <v>513</v>
      </c>
      <c r="AB364" s="173" t="s">
        <v>13</v>
      </c>
    </row>
    <row r="365" spans="25:28" ht="15.95" customHeight="1" x14ac:dyDescent="0.25">
      <c r="Y365" s="171" t="s">
        <v>726</v>
      </c>
      <c r="Z365" s="166">
        <v>3.7499999999999999E-2</v>
      </c>
      <c r="AA365" s="172">
        <v>0</v>
      </c>
      <c r="AB365" s="173" t="s">
        <v>13</v>
      </c>
    </row>
    <row r="366" spans="25:28" ht="15.95" customHeight="1" x14ac:dyDescent="0.25">
      <c r="Y366" s="171" t="s">
        <v>727</v>
      </c>
      <c r="Z366" s="166">
        <v>0.13</v>
      </c>
      <c r="AA366" s="172">
        <v>863</v>
      </c>
      <c r="AB366" s="173" t="s">
        <v>37</v>
      </c>
    </row>
    <row r="367" spans="25:28" ht="15.95" customHeight="1" x14ac:dyDescent="0.25">
      <c r="Y367" s="171" t="s">
        <v>728</v>
      </c>
      <c r="Z367" s="166">
        <v>0.15</v>
      </c>
      <c r="AA367" s="172">
        <v>863</v>
      </c>
      <c r="AB367" s="173" t="s">
        <v>22</v>
      </c>
    </row>
    <row r="368" spans="25:28" ht="15.95" customHeight="1" x14ac:dyDescent="0.25">
      <c r="Y368" s="171" t="s">
        <v>729</v>
      </c>
      <c r="Z368" s="166">
        <v>0.13</v>
      </c>
      <c r="AA368" s="172">
        <v>513</v>
      </c>
      <c r="AB368" s="173" t="s">
        <v>37</v>
      </c>
    </row>
    <row r="369" spans="25:28" ht="15.95" customHeight="1" x14ac:dyDescent="0.25">
      <c r="Y369" s="171" t="s">
        <v>730</v>
      </c>
      <c r="Z369" s="166">
        <v>0.13</v>
      </c>
      <c r="AA369" s="172">
        <v>513</v>
      </c>
      <c r="AB369" s="173" t="s">
        <v>22</v>
      </c>
    </row>
    <row r="370" spans="25:28" ht="15.95" customHeight="1" x14ac:dyDescent="0.25">
      <c r="Y370" s="171" t="s">
        <v>731</v>
      </c>
      <c r="Z370" s="166">
        <v>0.13</v>
      </c>
      <c r="AA370" s="172">
        <v>513</v>
      </c>
      <c r="AB370" s="173" t="s">
        <v>37</v>
      </c>
    </row>
    <row r="371" spans="25:28" ht="15.95" customHeight="1" x14ac:dyDescent="0.25">
      <c r="Y371" s="171" t="s">
        <v>732</v>
      </c>
      <c r="Z371" s="166">
        <v>0.13</v>
      </c>
      <c r="AA371" s="172">
        <v>513</v>
      </c>
      <c r="AB371" s="173" t="s">
        <v>22</v>
      </c>
    </row>
    <row r="372" spans="25:28" ht="15.95" customHeight="1" x14ac:dyDescent="0.25">
      <c r="Y372" s="171" t="s">
        <v>733</v>
      </c>
      <c r="Z372" s="166">
        <v>0.13</v>
      </c>
      <c r="AA372" s="172">
        <v>513</v>
      </c>
      <c r="AB372" s="173" t="s">
        <v>37</v>
      </c>
    </row>
    <row r="373" spans="25:28" ht="15.95" customHeight="1" x14ac:dyDescent="0.25">
      <c r="Y373" s="171" t="s">
        <v>734</v>
      </c>
      <c r="Z373" s="166">
        <v>0.13</v>
      </c>
      <c r="AA373" s="172">
        <v>513</v>
      </c>
      <c r="AB373" s="173" t="s">
        <v>22</v>
      </c>
    </row>
    <row r="374" spans="25:28" ht="15.95" customHeight="1" x14ac:dyDescent="0.25">
      <c r="Y374" s="171" t="s">
        <v>735</v>
      </c>
      <c r="Z374" s="166">
        <v>0.13</v>
      </c>
      <c r="AA374" s="172">
        <v>863</v>
      </c>
      <c r="AB374" s="173" t="s">
        <v>37</v>
      </c>
    </row>
    <row r="375" spans="25:28" ht="15.95" customHeight="1" x14ac:dyDescent="0.25">
      <c r="Y375" s="171" t="s">
        <v>736</v>
      </c>
      <c r="Z375" s="166">
        <v>0.13</v>
      </c>
      <c r="AA375" s="172">
        <v>863</v>
      </c>
      <c r="AB375" s="173" t="s">
        <v>22</v>
      </c>
    </row>
    <row r="376" spans="25:28" ht="15.95" customHeight="1" x14ac:dyDescent="0.25">
      <c r="Y376" s="171" t="s">
        <v>737</v>
      </c>
      <c r="Z376" s="166">
        <v>0.15</v>
      </c>
      <c r="AA376" s="172">
        <v>513</v>
      </c>
      <c r="AB376" s="173" t="s">
        <v>22</v>
      </c>
    </row>
    <row r="377" spans="25:28" ht="15.95" customHeight="1" x14ac:dyDescent="0.25">
      <c r="Y377" s="171" t="s">
        <v>738</v>
      </c>
      <c r="Z377" s="166">
        <v>0.14000000000000001</v>
      </c>
      <c r="AA377" s="172">
        <v>513</v>
      </c>
      <c r="AB377" s="173" t="s">
        <v>22</v>
      </c>
    </row>
    <row r="378" spans="25:28" ht="15.95" customHeight="1" x14ac:dyDescent="0.25">
      <c r="Y378" s="171" t="s">
        <v>739</v>
      </c>
      <c r="Z378" s="166">
        <v>0.14000000000000001</v>
      </c>
      <c r="AA378" s="172">
        <v>513</v>
      </c>
      <c r="AB378" s="173" t="s">
        <v>37</v>
      </c>
    </row>
    <row r="379" spans="25:28" ht="15.95" customHeight="1" x14ac:dyDescent="0.25">
      <c r="Y379" s="171" t="s">
        <v>740</v>
      </c>
      <c r="Z379" s="166">
        <v>0.13</v>
      </c>
      <c r="AA379" s="172">
        <v>513</v>
      </c>
      <c r="AB379" s="173" t="s">
        <v>22</v>
      </c>
    </row>
    <row r="380" spans="25:28" ht="15.95" customHeight="1" x14ac:dyDescent="0.25">
      <c r="Y380" s="171" t="s">
        <v>741</v>
      </c>
      <c r="Z380" s="166">
        <v>0.13</v>
      </c>
      <c r="AA380" s="172">
        <v>863</v>
      </c>
      <c r="AB380" s="173" t="s">
        <v>22</v>
      </c>
    </row>
    <row r="381" spans="25:28" ht="15.95" customHeight="1" x14ac:dyDescent="0.25">
      <c r="Y381" s="171" t="s">
        <v>742</v>
      </c>
      <c r="Z381" s="166">
        <v>0.14499999999999999</v>
      </c>
      <c r="AA381" s="172">
        <v>863</v>
      </c>
      <c r="AB381" s="173" t="s">
        <v>22</v>
      </c>
    </row>
    <row r="382" spans="25:28" ht="15.95" customHeight="1" x14ac:dyDescent="0.25">
      <c r="Y382" s="171" t="s">
        <v>743</v>
      </c>
      <c r="Z382" s="166">
        <v>0.115</v>
      </c>
      <c r="AA382" s="172">
        <v>863</v>
      </c>
      <c r="AB382" s="173" t="s">
        <v>37</v>
      </c>
    </row>
    <row r="383" spans="25:28" ht="15.95" customHeight="1" x14ac:dyDescent="0.25">
      <c r="Y383" s="171" t="s">
        <v>744</v>
      </c>
      <c r="Z383" s="166">
        <v>0.115</v>
      </c>
      <c r="AA383" s="172">
        <v>317</v>
      </c>
      <c r="AB383" s="173" t="s">
        <v>22</v>
      </c>
    </row>
    <row r="384" spans="25:28" ht="15.95" customHeight="1" x14ac:dyDescent="0.25">
      <c r="Y384" s="171" t="s">
        <v>745</v>
      </c>
      <c r="Z384" s="166">
        <v>0.11</v>
      </c>
      <c r="AA384" s="172">
        <v>317</v>
      </c>
      <c r="AB384" s="173" t="s">
        <v>22</v>
      </c>
    </row>
    <row r="385" spans="25:28" ht="15.95" customHeight="1" x14ac:dyDescent="0.25">
      <c r="Y385" s="171" t="s">
        <v>746</v>
      </c>
      <c r="Z385" s="166">
        <v>0.11</v>
      </c>
      <c r="AA385" s="172">
        <v>317</v>
      </c>
      <c r="AB385" s="173" t="s">
        <v>22</v>
      </c>
    </row>
    <row r="386" spans="25:28" ht="15.95" customHeight="1" x14ac:dyDescent="0.25">
      <c r="Y386" s="171" t="s">
        <v>747</v>
      </c>
      <c r="Z386" s="166">
        <v>0.11</v>
      </c>
      <c r="AA386" s="172">
        <v>317</v>
      </c>
      <c r="AB386" s="173" t="s">
        <v>37</v>
      </c>
    </row>
    <row r="387" spans="25:28" ht="15.95" customHeight="1" x14ac:dyDescent="0.25">
      <c r="Y387" s="171" t="s">
        <v>748</v>
      </c>
      <c r="Z387" s="166">
        <v>0.14499999999999999</v>
      </c>
      <c r="AA387" s="172">
        <v>863</v>
      </c>
      <c r="AB387" s="173" t="s">
        <v>37</v>
      </c>
    </row>
    <row r="388" spans="25:28" ht="15.95" customHeight="1" x14ac:dyDescent="0.25">
      <c r="Y388" s="171" t="s">
        <v>749</v>
      </c>
      <c r="Z388" s="166">
        <v>0.14499999999999999</v>
      </c>
      <c r="AA388" s="172">
        <v>863</v>
      </c>
      <c r="AB388" s="173" t="s">
        <v>22</v>
      </c>
    </row>
    <row r="389" spans="25:28" ht="15.95" customHeight="1" x14ac:dyDescent="0.25">
      <c r="Y389" s="171" t="s">
        <v>750</v>
      </c>
      <c r="Z389" s="166">
        <v>0.13500000000000001</v>
      </c>
      <c r="AA389" s="172">
        <v>317</v>
      </c>
      <c r="AB389" s="173" t="s">
        <v>37</v>
      </c>
    </row>
    <row r="390" spans="25:28" ht="15.95" customHeight="1" x14ac:dyDescent="0.25">
      <c r="Y390" s="171" t="s">
        <v>751</v>
      </c>
      <c r="Z390" s="166">
        <v>0.13500000000000001</v>
      </c>
      <c r="AA390" s="172">
        <v>317</v>
      </c>
      <c r="AB390" s="173" t="s">
        <v>22</v>
      </c>
    </row>
    <row r="391" spans="25:28" ht="15.95" customHeight="1" x14ac:dyDescent="0.25">
      <c r="Y391" s="171" t="s">
        <v>752</v>
      </c>
      <c r="Z391" s="166">
        <v>0.08</v>
      </c>
      <c r="AA391" s="172">
        <v>0</v>
      </c>
      <c r="AB391" s="173" t="s">
        <v>37</v>
      </c>
    </row>
    <row r="392" spans="25:28" ht="15.95" customHeight="1" x14ac:dyDescent="0.25">
      <c r="Y392" s="171" t="s">
        <v>753</v>
      </c>
      <c r="Z392" s="166">
        <v>0.01</v>
      </c>
      <c r="AA392" s="172">
        <v>0</v>
      </c>
      <c r="AB392" s="173" t="s">
        <v>37</v>
      </c>
    </row>
    <row r="393" spans="25:28" ht="15.95" customHeight="1" x14ac:dyDescent="0.25">
      <c r="Y393" s="171" t="s">
        <v>754</v>
      </c>
      <c r="Z393" s="166">
        <v>0.01</v>
      </c>
      <c r="AA393" s="172">
        <v>0</v>
      </c>
      <c r="AB393" s="173" t="s">
        <v>22</v>
      </c>
    </row>
    <row r="394" spans="25:28" ht="15.95" customHeight="1" x14ac:dyDescent="0.25">
      <c r="Y394" s="171" t="s">
        <v>755</v>
      </c>
      <c r="Z394" s="166">
        <v>0</v>
      </c>
      <c r="AA394" s="172">
        <v>0</v>
      </c>
      <c r="AB394" s="173" t="s">
        <v>37</v>
      </c>
    </row>
    <row r="395" spans="25:28" ht="15.95" customHeight="1" x14ac:dyDescent="0.25">
      <c r="Y395" s="171" t="s">
        <v>756</v>
      </c>
      <c r="Z395" s="166">
        <v>0.16750000000000001</v>
      </c>
      <c r="AA395" s="172">
        <v>0</v>
      </c>
      <c r="AB395" s="173" t="s">
        <v>22</v>
      </c>
    </row>
    <row r="396" spans="25:28" ht="15.95" customHeight="1" x14ac:dyDescent="0.25">
      <c r="Y396" s="171" t="s">
        <v>757</v>
      </c>
      <c r="Z396" s="166">
        <v>0.16750000000000001</v>
      </c>
      <c r="AA396" s="172">
        <v>0</v>
      </c>
      <c r="AB396" s="173" t="s">
        <v>37</v>
      </c>
    </row>
    <row r="397" spans="25:28" ht="15.95" customHeight="1" x14ac:dyDescent="0.25">
      <c r="Y397" s="171" t="s">
        <v>758</v>
      </c>
      <c r="Z397" s="166">
        <v>0.08</v>
      </c>
      <c r="AA397" s="172">
        <v>0</v>
      </c>
      <c r="AB397" s="173" t="s">
        <v>22</v>
      </c>
    </row>
    <row r="398" spans="25:28" ht="15.95" customHeight="1" x14ac:dyDescent="0.25">
      <c r="Y398" s="171" t="s">
        <v>759</v>
      </c>
      <c r="Z398" s="166">
        <v>0</v>
      </c>
      <c r="AA398" s="172">
        <v>0</v>
      </c>
      <c r="AB398" s="173" t="s">
        <v>37</v>
      </c>
    </row>
    <row r="399" spans="25:28" ht="15.95" customHeight="1" x14ac:dyDescent="0.25">
      <c r="Y399" s="171" t="s">
        <v>760</v>
      </c>
      <c r="Z399" s="166">
        <v>0</v>
      </c>
      <c r="AA399" s="172">
        <v>0</v>
      </c>
      <c r="AB399" s="173" t="s">
        <v>22</v>
      </c>
    </row>
    <row r="400" spans="25:28" ht="15.95" customHeight="1" x14ac:dyDescent="0.25">
      <c r="Y400" s="171" t="s">
        <v>761</v>
      </c>
      <c r="Z400" s="166">
        <v>0</v>
      </c>
      <c r="AA400" s="172">
        <v>0</v>
      </c>
      <c r="AB400" s="173" t="s">
        <v>37</v>
      </c>
    </row>
    <row r="401" spans="25:28" ht="15.95" customHeight="1" x14ac:dyDescent="0.25">
      <c r="Y401" s="171" t="s">
        <v>762</v>
      </c>
      <c r="Z401" s="166">
        <v>0</v>
      </c>
      <c r="AA401" s="172">
        <v>0</v>
      </c>
      <c r="AB401" s="173" t="s">
        <v>22</v>
      </c>
    </row>
    <row r="402" spans="25:28" ht="15.95" customHeight="1" x14ac:dyDescent="0.25">
      <c r="Y402" s="171" t="s">
        <v>763</v>
      </c>
      <c r="Z402" s="166">
        <v>0</v>
      </c>
      <c r="AA402" s="172">
        <v>0</v>
      </c>
      <c r="AB402" s="173" t="s">
        <v>37</v>
      </c>
    </row>
    <row r="403" spans="25:28" ht="15.95" customHeight="1" x14ac:dyDescent="0.25">
      <c r="Y403" s="171" t="s">
        <v>764</v>
      </c>
      <c r="Z403" s="166">
        <v>0</v>
      </c>
      <c r="AA403" s="172">
        <v>0</v>
      </c>
      <c r="AB403" s="173" t="s">
        <v>22</v>
      </c>
    </row>
    <row r="404" spans="25:28" ht="15.95" customHeight="1" x14ac:dyDescent="0.25">
      <c r="Y404" s="171" t="s">
        <v>765</v>
      </c>
      <c r="Z404" s="166">
        <v>0.08</v>
      </c>
      <c r="AA404" s="172">
        <v>0</v>
      </c>
      <c r="AB404" s="173" t="s">
        <v>22</v>
      </c>
    </row>
    <row r="405" spans="25:28" ht="15.95" customHeight="1" x14ac:dyDescent="0.25">
      <c r="Y405" s="171" t="s">
        <v>766</v>
      </c>
      <c r="Z405" s="166">
        <v>0.04</v>
      </c>
      <c r="AA405" s="172">
        <v>0</v>
      </c>
      <c r="AB405" s="173" t="s">
        <v>13</v>
      </c>
    </row>
    <row r="406" spans="25:28" ht="15.95" customHeight="1" x14ac:dyDescent="0.25">
      <c r="Y406" s="171" t="s">
        <v>767</v>
      </c>
      <c r="Z406" s="166">
        <v>0.08</v>
      </c>
      <c r="AA406" s="172">
        <v>0</v>
      </c>
      <c r="AB406" s="173" t="s">
        <v>13</v>
      </c>
    </row>
    <row r="407" spans="25:28" ht="15.95" customHeight="1" x14ac:dyDescent="0.25">
      <c r="Y407" s="171" t="s">
        <v>51</v>
      </c>
      <c r="Z407" s="166">
        <v>0</v>
      </c>
      <c r="AA407" s="172">
        <v>0</v>
      </c>
      <c r="AB407" s="173" t="s">
        <v>37</v>
      </c>
    </row>
    <row r="408" spans="25:28" ht="15.95" customHeight="1" x14ac:dyDescent="0.25">
      <c r="Y408" s="171" t="s">
        <v>768</v>
      </c>
      <c r="Z408" s="166">
        <v>0</v>
      </c>
      <c r="AA408" s="172">
        <v>0</v>
      </c>
      <c r="AB408" s="173" t="s">
        <v>22</v>
      </c>
    </row>
    <row r="409" spans="25:28" ht="15.95" customHeight="1" x14ac:dyDescent="0.25">
      <c r="Y409" s="171" t="s">
        <v>769</v>
      </c>
      <c r="Z409" s="166">
        <v>0</v>
      </c>
      <c r="AA409" s="172">
        <v>0</v>
      </c>
      <c r="AB409" s="173" t="s">
        <v>22</v>
      </c>
    </row>
    <row r="410" spans="25:28" ht="15.95" customHeight="1" x14ac:dyDescent="0.25">
      <c r="Y410" s="171" t="s">
        <v>37</v>
      </c>
      <c r="Z410" s="166">
        <v>0</v>
      </c>
      <c r="AA410" s="172">
        <v>0</v>
      </c>
      <c r="AB410" s="173" t="s">
        <v>13</v>
      </c>
    </row>
    <row r="411" spans="25:28" ht="15.95" customHeight="1" x14ac:dyDescent="0.25">
      <c r="Y411" s="171" t="s">
        <v>770</v>
      </c>
      <c r="Z411" s="166">
        <v>0</v>
      </c>
      <c r="AA411" s="172">
        <v>0</v>
      </c>
      <c r="AB411" s="173" t="s">
        <v>37</v>
      </c>
    </row>
    <row r="412" spans="25:28" ht="15.95" customHeight="1" x14ac:dyDescent="0.25">
      <c r="Y412" s="171" t="s">
        <v>771</v>
      </c>
      <c r="Z412" s="166">
        <v>3.7499999999999999E-2</v>
      </c>
      <c r="AA412" s="172">
        <v>0</v>
      </c>
      <c r="AB412" s="173" t="s">
        <v>13</v>
      </c>
    </row>
    <row r="413" spans="25:28" ht="15.95" customHeight="1" x14ac:dyDescent="0.25">
      <c r="Y413" s="171" t="s">
        <v>772</v>
      </c>
      <c r="Z413" s="166">
        <v>3.7499999999999999E-2</v>
      </c>
      <c r="AA413" s="172">
        <v>0</v>
      </c>
      <c r="AB413" s="173" t="s">
        <v>13</v>
      </c>
    </row>
    <row r="414" spans="25:28" ht="15.95" customHeight="1" x14ac:dyDescent="0.25">
      <c r="Y414" s="171" t="s">
        <v>773</v>
      </c>
      <c r="Z414" s="166">
        <v>0.01</v>
      </c>
      <c r="AA414" s="172">
        <v>317</v>
      </c>
      <c r="AB414" s="173" t="s">
        <v>22</v>
      </c>
    </row>
    <row r="415" spans="25:28" ht="15.95" customHeight="1" x14ac:dyDescent="0.25">
      <c r="Y415" s="171" t="s">
        <v>774</v>
      </c>
      <c r="Z415" s="166">
        <v>1.4999999999999999E-2</v>
      </c>
      <c r="AA415" s="172">
        <v>0</v>
      </c>
      <c r="AB415" s="173" t="s">
        <v>22</v>
      </c>
    </row>
    <row r="416" spans="25:28" ht="15.95" customHeight="1" x14ac:dyDescent="0.25">
      <c r="Y416" s="171" t="s">
        <v>775</v>
      </c>
      <c r="Z416" s="166">
        <v>0.09</v>
      </c>
      <c r="AA416" s="172">
        <v>513</v>
      </c>
      <c r="AB416" s="173" t="s">
        <v>13</v>
      </c>
    </row>
    <row r="417" spans="25:28" ht="15.95" customHeight="1" x14ac:dyDescent="0.25">
      <c r="Y417" s="171" t="s">
        <v>776</v>
      </c>
      <c r="Z417" s="166">
        <v>0.09</v>
      </c>
      <c r="AA417" s="172">
        <v>513</v>
      </c>
      <c r="AB417" s="173" t="s">
        <v>13</v>
      </c>
    </row>
    <row r="418" spans="25:28" ht="15.95" customHeight="1" x14ac:dyDescent="0.25">
      <c r="Y418" s="171" t="s">
        <v>777</v>
      </c>
      <c r="Z418" s="166">
        <v>0.09</v>
      </c>
      <c r="AA418" s="172">
        <v>513</v>
      </c>
      <c r="AB418" s="173" t="s">
        <v>13</v>
      </c>
    </row>
    <row r="419" spans="25:28" ht="15.95" customHeight="1" x14ac:dyDescent="0.25">
      <c r="Y419" s="171" t="s">
        <v>778</v>
      </c>
      <c r="Z419" s="166">
        <v>3.7499999999999999E-2</v>
      </c>
      <c r="AA419" s="172">
        <v>0</v>
      </c>
      <c r="AB419" s="173" t="s">
        <v>13</v>
      </c>
    </row>
    <row r="420" spans="25:28" ht="15.95" customHeight="1" x14ac:dyDescent="0.25">
      <c r="Y420" s="171" t="s">
        <v>779</v>
      </c>
      <c r="Z420" s="166">
        <v>0.105</v>
      </c>
      <c r="AA420" s="172">
        <v>317</v>
      </c>
      <c r="AB420" s="173" t="s">
        <v>37</v>
      </c>
    </row>
    <row r="421" spans="25:28" ht="15.95" customHeight="1" x14ac:dyDescent="0.25">
      <c r="Y421" s="171" t="s">
        <v>780</v>
      </c>
      <c r="Z421" s="166">
        <v>0.11</v>
      </c>
      <c r="AA421" s="172">
        <v>317</v>
      </c>
      <c r="AB421" s="173" t="s">
        <v>22</v>
      </c>
    </row>
    <row r="422" spans="25:28" ht="15.95" customHeight="1" x14ac:dyDescent="0.25">
      <c r="Y422" s="171" t="s">
        <v>781</v>
      </c>
      <c r="Z422" s="166">
        <v>0.1</v>
      </c>
      <c r="AA422" s="172">
        <v>513</v>
      </c>
      <c r="AB422" s="173" t="s">
        <v>13</v>
      </c>
    </row>
    <row r="423" spans="25:28" ht="15.95" customHeight="1" x14ac:dyDescent="0.25">
      <c r="Y423" s="171" t="s">
        <v>782</v>
      </c>
      <c r="Z423" s="166">
        <v>0.11</v>
      </c>
      <c r="AA423" s="172">
        <v>317</v>
      </c>
      <c r="AB423" s="173" t="s">
        <v>37</v>
      </c>
    </row>
    <row r="424" spans="25:28" ht="15.95" customHeight="1" x14ac:dyDescent="0.25">
      <c r="Y424" s="171" t="s">
        <v>783</v>
      </c>
      <c r="Z424" s="166">
        <v>0.105</v>
      </c>
      <c r="AA424" s="172">
        <v>317</v>
      </c>
      <c r="AB424" s="173" t="s">
        <v>22</v>
      </c>
    </row>
    <row r="425" spans="25:28" ht="15.95" customHeight="1" x14ac:dyDescent="0.25">
      <c r="Y425" s="171" t="s">
        <v>784</v>
      </c>
      <c r="Z425" s="166">
        <v>9.5000000000000001E-2</v>
      </c>
      <c r="AA425" s="172">
        <v>513</v>
      </c>
      <c r="AB425" s="173" t="s">
        <v>13</v>
      </c>
    </row>
    <row r="426" spans="25:28" ht="15.95" customHeight="1" x14ac:dyDescent="0.25">
      <c r="Y426" s="171" t="s">
        <v>785</v>
      </c>
      <c r="Z426" s="166">
        <v>0.1</v>
      </c>
      <c r="AA426" s="172">
        <v>513</v>
      </c>
      <c r="AB426" s="173" t="s">
        <v>13</v>
      </c>
    </row>
    <row r="427" spans="25:28" ht="15.95" customHeight="1" x14ac:dyDescent="0.25">
      <c r="Y427" s="171" t="s">
        <v>786</v>
      </c>
      <c r="Z427" s="166">
        <v>0.09</v>
      </c>
      <c r="AA427" s="172">
        <v>513</v>
      </c>
      <c r="AB427" s="173" t="s">
        <v>13</v>
      </c>
    </row>
    <row r="428" spans="25:28" ht="15.95" customHeight="1" x14ac:dyDescent="0.25">
      <c r="Y428" s="171" t="s">
        <v>787</v>
      </c>
      <c r="Z428" s="166">
        <v>0.09</v>
      </c>
      <c r="AA428" s="172">
        <v>513</v>
      </c>
      <c r="AB428" s="173" t="s">
        <v>13</v>
      </c>
    </row>
    <row r="429" spans="25:28" ht="15.95" customHeight="1" x14ac:dyDescent="0.25">
      <c r="Y429" s="171" t="s">
        <v>788</v>
      </c>
      <c r="Z429" s="166">
        <v>8.5000000000000006E-2</v>
      </c>
      <c r="AA429" s="172">
        <v>513</v>
      </c>
      <c r="AB429" s="173" t="s">
        <v>37</v>
      </c>
    </row>
    <row r="430" spans="25:28" ht="15.95" customHeight="1" x14ac:dyDescent="0.25">
      <c r="Y430" s="171" t="s">
        <v>789</v>
      </c>
      <c r="Z430" s="166">
        <v>0.1</v>
      </c>
      <c r="AA430" s="172">
        <v>317</v>
      </c>
      <c r="AB430" s="173" t="s">
        <v>22</v>
      </c>
    </row>
    <row r="431" spans="25:28" ht="15.95" customHeight="1" x14ac:dyDescent="0.25">
      <c r="Y431" s="171" t="s">
        <v>790</v>
      </c>
      <c r="Z431" s="166">
        <v>0.105</v>
      </c>
      <c r="AA431" s="172">
        <v>317</v>
      </c>
      <c r="AB431" s="173" t="s">
        <v>37</v>
      </c>
    </row>
    <row r="432" spans="25:28" ht="15.95" customHeight="1" x14ac:dyDescent="0.25">
      <c r="Y432" s="171" t="s">
        <v>791</v>
      </c>
      <c r="Z432" s="166">
        <v>0.1</v>
      </c>
      <c r="AA432" s="172">
        <v>317</v>
      </c>
      <c r="AB432" s="173" t="s">
        <v>22</v>
      </c>
    </row>
    <row r="433" spans="25:28" ht="15.95" customHeight="1" x14ac:dyDescent="0.25">
      <c r="Y433" s="171" t="s">
        <v>792</v>
      </c>
      <c r="Z433" s="166">
        <v>0.09</v>
      </c>
      <c r="AA433" s="172">
        <v>513</v>
      </c>
      <c r="AB433" s="173" t="s">
        <v>13</v>
      </c>
    </row>
    <row r="434" spans="25:28" ht="15.95" customHeight="1" x14ac:dyDescent="0.25">
      <c r="Y434" s="171" t="s">
        <v>793</v>
      </c>
      <c r="Z434" s="166">
        <v>0.09</v>
      </c>
      <c r="AA434" s="172">
        <v>513</v>
      </c>
      <c r="AB434" s="173" t="s">
        <v>13</v>
      </c>
    </row>
    <row r="435" spans="25:28" ht="15.95" customHeight="1" x14ac:dyDescent="0.25">
      <c r="Y435" s="171" t="s">
        <v>794</v>
      </c>
      <c r="Z435" s="166">
        <v>8.5000000000000006E-2</v>
      </c>
      <c r="AA435" s="172">
        <v>513</v>
      </c>
      <c r="AB435" s="173" t="s">
        <v>13</v>
      </c>
    </row>
    <row r="436" spans="25:28" ht="15.95" customHeight="1" x14ac:dyDescent="0.25">
      <c r="Y436" s="171" t="s">
        <v>795</v>
      </c>
      <c r="Z436" s="166">
        <v>8.5000000000000006E-2</v>
      </c>
      <c r="AA436" s="172">
        <v>513</v>
      </c>
      <c r="AB436" s="173" t="s">
        <v>13</v>
      </c>
    </row>
    <row r="437" spans="25:28" ht="15.95" customHeight="1" x14ac:dyDescent="0.25">
      <c r="Y437" s="171" t="s">
        <v>796</v>
      </c>
      <c r="Z437" s="166">
        <v>8.5000000000000006E-2</v>
      </c>
      <c r="AA437" s="172">
        <v>513</v>
      </c>
      <c r="AB437" s="173" t="s">
        <v>13</v>
      </c>
    </row>
    <row r="438" spans="25:28" ht="15.95" customHeight="1" x14ac:dyDescent="0.25">
      <c r="Y438" s="171" t="s">
        <v>797</v>
      </c>
      <c r="Z438" s="166">
        <v>8.5000000000000006E-2</v>
      </c>
      <c r="AA438" s="172">
        <v>513</v>
      </c>
      <c r="AB438" s="173" t="s">
        <v>13</v>
      </c>
    </row>
    <row r="439" spans="25:28" ht="15.95" customHeight="1" x14ac:dyDescent="0.25">
      <c r="Y439" s="171" t="s">
        <v>798</v>
      </c>
      <c r="Z439" s="166">
        <v>8.7499999999999994E-2</v>
      </c>
      <c r="AA439" s="172">
        <v>513</v>
      </c>
      <c r="AB439" s="173" t="s">
        <v>13</v>
      </c>
    </row>
    <row r="440" spans="25:28" ht="15.95" customHeight="1" x14ac:dyDescent="0.25">
      <c r="Y440" s="171" t="s">
        <v>799</v>
      </c>
      <c r="Z440" s="166">
        <v>8.5000000000000006E-2</v>
      </c>
      <c r="AA440" s="172">
        <v>513</v>
      </c>
      <c r="AB440" s="173" t="s">
        <v>13</v>
      </c>
    </row>
    <row r="441" spans="25:28" ht="15.95" customHeight="1" x14ac:dyDescent="0.25">
      <c r="Y441" s="171" t="s">
        <v>800</v>
      </c>
      <c r="Z441" s="166">
        <v>8.5000000000000006E-2</v>
      </c>
      <c r="AA441" s="172">
        <v>513</v>
      </c>
      <c r="AB441" s="173" t="s">
        <v>13</v>
      </c>
    </row>
    <row r="442" spans="25:28" ht="15.95" customHeight="1" x14ac:dyDescent="0.25">
      <c r="Y442" s="171" t="s">
        <v>801</v>
      </c>
      <c r="Z442" s="166">
        <v>8.5000000000000006E-2</v>
      </c>
      <c r="AA442" s="172">
        <v>513</v>
      </c>
      <c r="AB442" s="173" t="s">
        <v>13</v>
      </c>
    </row>
    <row r="443" spans="25:28" ht="15.95" customHeight="1" x14ac:dyDescent="0.25">
      <c r="Y443" s="171" t="s">
        <v>802</v>
      </c>
      <c r="Z443" s="166">
        <v>8.5000000000000006E-2</v>
      </c>
      <c r="AA443" s="172">
        <v>513</v>
      </c>
      <c r="AB443" s="173" t="s">
        <v>13</v>
      </c>
    </row>
    <row r="444" spans="25:28" ht="15.95" customHeight="1" x14ac:dyDescent="0.25">
      <c r="Y444" s="171" t="s">
        <v>803</v>
      </c>
      <c r="Z444" s="166">
        <v>0.115</v>
      </c>
      <c r="AA444" s="172">
        <v>317</v>
      </c>
      <c r="AB444" s="173" t="s">
        <v>22</v>
      </c>
    </row>
    <row r="445" spans="25:28" ht="15.95" customHeight="1" x14ac:dyDescent="0.25">
      <c r="Y445" s="171" t="s">
        <v>804</v>
      </c>
      <c r="Z445" s="166">
        <v>0.115</v>
      </c>
      <c r="AA445" s="172">
        <v>317</v>
      </c>
      <c r="AB445" s="173" t="s">
        <v>37</v>
      </c>
    </row>
    <row r="446" spans="25:28" ht="15.95" customHeight="1" x14ac:dyDescent="0.25">
      <c r="Y446" s="171" t="s">
        <v>805</v>
      </c>
      <c r="Z446" s="166">
        <v>0.115</v>
      </c>
      <c r="AA446" s="172">
        <v>317</v>
      </c>
      <c r="AB446" s="173" t="s">
        <v>22</v>
      </c>
    </row>
    <row r="447" spans="25:28" ht="15.95" customHeight="1" x14ac:dyDescent="0.25">
      <c r="Y447" s="171" t="s">
        <v>806</v>
      </c>
      <c r="Z447" s="166">
        <v>0.115</v>
      </c>
      <c r="AA447" s="172">
        <v>317</v>
      </c>
      <c r="AB447" s="173" t="s">
        <v>22</v>
      </c>
    </row>
    <row r="448" spans="25:28" ht="15.95" customHeight="1" x14ac:dyDescent="0.25">
      <c r="Y448" s="171" t="s">
        <v>807</v>
      </c>
      <c r="Z448" s="166">
        <v>0.115</v>
      </c>
      <c r="AA448" s="172">
        <v>317</v>
      </c>
      <c r="AB448" s="173" t="s">
        <v>22</v>
      </c>
    </row>
    <row r="449" spans="25:28" ht="15.95" customHeight="1" x14ac:dyDescent="0.25">
      <c r="Y449" s="171" t="s">
        <v>808</v>
      </c>
      <c r="Z449" s="166">
        <v>0.115</v>
      </c>
      <c r="AA449" s="172">
        <v>317</v>
      </c>
      <c r="AB449" s="173" t="s">
        <v>37</v>
      </c>
    </row>
    <row r="450" spans="25:28" ht="15.95" customHeight="1" x14ac:dyDescent="0.25">
      <c r="Y450" s="171" t="s">
        <v>809</v>
      </c>
      <c r="Z450" s="166">
        <v>0.115</v>
      </c>
      <c r="AA450" s="172">
        <v>317</v>
      </c>
      <c r="AB450" s="173" t="s">
        <v>22</v>
      </c>
    </row>
    <row r="451" spans="25:28" ht="15.95" customHeight="1" x14ac:dyDescent="0.25">
      <c r="Y451" s="171" t="s">
        <v>810</v>
      </c>
      <c r="Z451" s="166">
        <v>0.115</v>
      </c>
      <c r="AA451" s="172">
        <v>317</v>
      </c>
      <c r="AB451" s="173" t="s">
        <v>37</v>
      </c>
    </row>
    <row r="452" spans="25:28" ht="15.95" customHeight="1" x14ac:dyDescent="0.25">
      <c r="Y452" s="171" t="s">
        <v>811</v>
      </c>
      <c r="Z452" s="166">
        <v>0.115</v>
      </c>
      <c r="AA452" s="172">
        <v>317</v>
      </c>
      <c r="AB452" s="173" t="s">
        <v>22</v>
      </c>
    </row>
    <row r="453" spans="25:28" ht="15.95" customHeight="1" x14ac:dyDescent="0.25">
      <c r="Y453" s="171" t="s">
        <v>812</v>
      </c>
      <c r="Z453" s="166">
        <v>0.115</v>
      </c>
      <c r="AA453" s="172">
        <v>317</v>
      </c>
      <c r="AB453" s="173" t="s">
        <v>22</v>
      </c>
    </row>
    <row r="454" spans="25:28" ht="15.95" customHeight="1" x14ac:dyDescent="0.25">
      <c r="Y454" s="171" t="s">
        <v>813</v>
      </c>
      <c r="Z454" s="166">
        <v>0.115</v>
      </c>
      <c r="AA454" s="172">
        <v>317</v>
      </c>
      <c r="AB454" s="173" t="s">
        <v>22</v>
      </c>
    </row>
    <row r="455" spans="25:28" ht="15.95" customHeight="1" x14ac:dyDescent="0.25">
      <c r="Y455" s="171" t="s">
        <v>814</v>
      </c>
      <c r="Z455" s="166">
        <v>0.115</v>
      </c>
      <c r="AA455" s="172">
        <v>317</v>
      </c>
      <c r="AB455" s="173" t="s">
        <v>22</v>
      </c>
    </row>
    <row r="456" spans="25:28" ht="15.95" customHeight="1" x14ac:dyDescent="0.25">
      <c r="Y456" s="171" t="s">
        <v>815</v>
      </c>
      <c r="Z456" s="166">
        <v>0.08</v>
      </c>
      <c r="AA456" s="172">
        <v>0</v>
      </c>
      <c r="AB456" s="173" t="s">
        <v>37</v>
      </c>
    </row>
    <row r="457" spans="25:28" ht="15.95" customHeight="1" x14ac:dyDescent="0.25">
      <c r="Y457" s="171" t="s">
        <v>816</v>
      </c>
      <c r="Z457" s="166">
        <v>0.10249999999999999</v>
      </c>
      <c r="AA457" s="172">
        <v>0</v>
      </c>
      <c r="AB457" s="173" t="s">
        <v>22</v>
      </c>
    </row>
    <row r="458" spans="25:28" ht="15.95" customHeight="1" x14ac:dyDescent="0.25">
      <c r="Y458" s="171" t="s">
        <v>817</v>
      </c>
      <c r="Z458" s="166">
        <v>0.10249999999999999</v>
      </c>
      <c r="AA458" s="172">
        <v>0</v>
      </c>
      <c r="AB458" s="173" t="s">
        <v>22</v>
      </c>
    </row>
    <row r="459" spans="25:28" ht="15.95" customHeight="1" x14ac:dyDescent="0.25">
      <c r="Y459" s="171" t="s">
        <v>818</v>
      </c>
      <c r="Z459" s="166">
        <v>7.4999999999999997E-2</v>
      </c>
      <c r="AA459" s="172">
        <v>0</v>
      </c>
      <c r="AB459" s="173" t="s">
        <v>37</v>
      </c>
    </row>
    <row r="460" spans="25:28" ht="15.95" customHeight="1" x14ac:dyDescent="0.25">
      <c r="Y460" s="171" t="s">
        <v>819</v>
      </c>
      <c r="Z460" s="166">
        <v>0.09</v>
      </c>
      <c r="AA460" s="172">
        <v>513</v>
      </c>
      <c r="AB460" s="173" t="s">
        <v>13</v>
      </c>
    </row>
    <row r="461" spans="25:28" ht="15.95" customHeight="1" x14ac:dyDescent="0.25">
      <c r="Y461" s="171" t="s">
        <v>820</v>
      </c>
      <c r="Z461" s="166">
        <v>0.09</v>
      </c>
      <c r="AA461" s="172">
        <v>513</v>
      </c>
      <c r="AB461" s="173" t="s">
        <v>13</v>
      </c>
    </row>
    <row r="462" spans="25:28" ht="15.95" customHeight="1" x14ac:dyDescent="0.25">
      <c r="Y462" s="171" t="s">
        <v>821</v>
      </c>
      <c r="Z462" s="166">
        <v>0.09</v>
      </c>
      <c r="AA462" s="172">
        <v>513</v>
      </c>
      <c r="AB462" s="173" t="s">
        <v>13</v>
      </c>
    </row>
    <row r="463" spans="25:28" ht="15.95" customHeight="1" x14ac:dyDescent="0.25">
      <c r="Y463" s="171" t="s">
        <v>822</v>
      </c>
      <c r="Z463" s="166">
        <v>0.09</v>
      </c>
      <c r="AA463" s="172">
        <v>513</v>
      </c>
      <c r="AB463" s="173" t="s">
        <v>13</v>
      </c>
    </row>
    <row r="464" spans="25:28" ht="15.95" customHeight="1" x14ac:dyDescent="0.25">
      <c r="Y464" s="171" t="s">
        <v>823</v>
      </c>
      <c r="Z464" s="166">
        <v>0.08</v>
      </c>
      <c r="AA464" s="172">
        <v>513</v>
      </c>
      <c r="AB464" s="173" t="s">
        <v>13</v>
      </c>
    </row>
    <row r="465" spans="25:28" ht="15.95" customHeight="1" x14ac:dyDescent="0.25">
      <c r="Y465" s="171" t="s">
        <v>824</v>
      </c>
      <c r="Z465" s="166">
        <v>0.08</v>
      </c>
      <c r="AA465" s="172">
        <v>513</v>
      </c>
      <c r="AB465" s="173" t="s">
        <v>13</v>
      </c>
    </row>
    <row r="466" spans="25:28" ht="15.95" customHeight="1" x14ac:dyDescent="0.25">
      <c r="Y466" s="171" t="s">
        <v>825</v>
      </c>
      <c r="Z466" s="166">
        <v>0.05</v>
      </c>
      <c r="AA466" s="172">
        <v>513</v>
      </c>
      <c r="AB466" s="173" t="s">
        <v>13</v>
      </c>
    </row>
    <row r="467" spans="25:28" ht="15.95" customHeight="1" x14ac:dyDescent="0.25">
      <c r="Y467" s="171" t="s">
        <v>826</v>
      </c>
      <c r="Z467" s="166">
        <v>7.4999999999999997E-2</v>
      </c>
      <c r="AA467" s="172">
        <v>0</v>
      </c>
      <c r="AB467" s="173" t="s">
        <v>22</v>
      </c>
    </row>
    <row r="468" spans="25:28" ht="15.95" customHeight="1" x14ac:dyDescent="0.25">
      <c r="Y468" s="171" t="s">
        <v>827</v>
      </c>
      <c r="Z468" s="166">
        <v>0.05</v>
      </c>
      <c r="AA468" s="172">
        <v>513</v>
      </c>
      <c r="AB468" s="173" t="s">
        <v>13</v>
      </c>
    </row>
    <row r="469" spans="25:28" ht="15.95" customHeight="1" x14ac:dyDescent="0.25">
      <c r="Y469" s="171" t="s">
        <v>828</v>
      </c>
      <c r="Z469" s="166">
        <v>9.5000000000000001E-2</v>
      </c>
      <c r="AA469" s="172">
        <v>513</v>
      </c>
      <c r="AB469" s="173" t="s">
        <v>13</v>
      </c>
    </row>
    <row r="470" spans="25:28" ht="15.95" customHeight="1" x14ac:dyDescent="0.25">
      <c r="Y470" s="171" t="s">
        <v>829</v>
      </c>
      <c r="Z470" s="166">
        <v>0.05</v>
      </c>
      <c r="AA470" s="172">
        <v>513</v>
      </c>
      <c r="AB470" s="173" t="s">
        <v>13</v>
      </c>
    </row>
    <row r="471" spans="25:28" ht="15.95" customHeight="1" x14ac:dyDescent="0.25">
      <c r="Y471" s="171" t="s">
        <v>830</v>
      </c>
      <c r="Z471" s="166">
        <v>0.09</v>
      </c>
      <c r="AA471" s="172">
        <v>513</v>
      </c>
      <c r="AB471" s="173" t="s">
        <v>13</v>
      </c>
    </row>
    <row r="472" spans="25:28" ht="15.95" customHeight="1" x14ac:dyDescent="0.25">
      <c r="Y472" s="171" t="s">
        <v>831</v>
      </c>
      <c r="Z472" s="166">
        <v>7.4999999999999997E-2</v>
      </c>
      <c r="AA472" s="172">
        <v>0</v>
      </c>
      <c r="AB472" s="173" t="s">
        <v>37</v>
      </c>
    </row>
    <row r="473" spans="25:28" ht="15.95" customHeight="1" x14ac:dyDescent="0.25">
      <c r="Y473" s="171" t="s">
        <v>832</v>
      </c>
      <c r="Z473" s="166">
        <v>7.4999999999999997E-2</v>
      </c>
      <c r="AA473" s="172">
        <v>0</v>
      </c>
      <c r="AB473" s="173" t="s">
        <v>22</v>
      </c>
    </row>
    <row r="474" spans="25:28" ht="15.95" customHeight="1" x14ac:dyDescent="0.25">
      <c r="Y474" s="175" t="s">
        <v>833</v>
      </c>
      <c r="Z474" s="167">
        <v>0.05</v>
      </c>
      <c r="AA474" s="176">
        <v>513</v>
      </c>
      <c r="AB474" s="177" t="s">
        <v>13</v>
      </c>
    </row>
  </sheetData>
  <sheetProtection sheet="1" selectLockedCells="1"/>
  <sortState xmlns:xlrd2="http://schemas.microsoft.com/office/spreadsheetml/2017/richdata2" ref="Y6:AB486">
    <sortCondition ref="Y6:Y486"/>
  </sortState>
  <phoneticPr fontId="0" type="noConversion"/>
  <conditionalFormatting sqref="A2:G22">
    <cfRule type="expression" dxfId="0" priority="1">
      <formula>$G2="INVALID"</formula>
    </cfRule>
  </conditionalFormatting>
  <pageMargins left="0.75" right="0.75" top="1" bottom="1" header="0.5" footer="0.5"/>
  <pageSetup scale="78" orientation="portrait" r:id="rId1"/>
  <headerFooter alignWithMargins="0"/>
  <rowBreaks count="1" manualBreakCount="1">
    <brk id="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157</vt:i4>
      </vt:variant>
    </vt:vector>
  </HeadingPairs>
  <TitlesOfParts>
    <vt:vector size="158" baseType="lpstr">
      <vt:lpstr>Paycheck Calculator</vt:lpstr>
      <vt:lpstr>_FAN1</vt:lpstr>
      <vt:lpstr>_FTA1</vt:lpstr>
      <vt:lpstr>_FTG1</vt:lpstr>
      <vt:lpstr>_STA1</vt:lpstr>
      <vt:lpstr>_STG1</vt:lpstr>
      <vt:lpstr>_TG1</vt:lpstr>
      <vt:lpstr>_TG2</vt:lpstr>
      <vt:lpstr>_TG3</vt:lpstr>
      <vt:lpstr>_TG4</vt:lpstr>
      <vt:lpstr>_TG5</vt:lpstr>
      <vt:lpstr>_TG6</vt:lpstr>
      <vt:lpstr>CA_TAX_TBL_ADDL_ALLOW</vt:lpstr>
      <vt:lpstr>CA_TAX_TBL_CREDIT</vt:lpstr>
      <vt:lpstr>CA_TAX_TBL_H</vt:lpstr>
      <vt:lpstr>CA_TAX_TBL_LOW_INCOME</vt:lpstr>
      <vt:lpstr>CA_TAX_TBL_M</vt:lpstr>
      <vt:lpstr>CA_TAX_TBL_S</vt:lpstr>
      <vt:lpstr>CA_TAX_TBL_STD_DED</vt:lpstr>
      <vt:lpstr>DEF_COMP1</vt:lpstr>
      <vt:lpstr>DEF_COMP2</vt:lpstr>
      <vt:lpstr>DEF_COMP3</vt:lpstr>
      <vt:lpstr>DEF_COMP4</vt:lpstr>
      <vt:lpstr>DEF_COMP5</vt:lpstr>
      <vt:lpstr>DEF_COMP6</vt:lpstr>
      <vt:lpstr>FBSA1</vt:lpstr>
      <vt:lpstr>FBST1</vt:lpstr>
      <vt:lpstr>Fed_Claim_Dpnts</vt:lpstr>
      <vt:lpstr>Fed_Deds</vt:lpstr>
      <vt:lpstr>FED_EXEMPT_QTY</vt:lpstr>
      <vt:lpstr>FED_MARITAL_STATUS</vt:lpstr>
      <vt:lpstr>Fed_Oth_Inc</vt:lpstr>
      <vt:lpstr>FED_TAX_TBL_H</vt:lpstr>
      <vt:lpstr>FED_TAX_TBL_HHW</vt:lpstr>
      <vt:lpstr>FED_TAX_TBL_M</vt:lpstr>
      <vt:lpstr>FED_TAX_TBL_MHW</vt:lpstr>
      <vt:lpstr>FED_TAX_TBL_NAME</vt:lpstr>
      <vt:lpstr>FED_TAX_TBL_S</vt:lpstr>
      <vt:lpstr>FED_TAX_TBL_SHW</vt:lpstr>
      <vt:lpstr>FED_TAX_TBL_STD_DED</vt:lpstr>
      <vt:lpstr>FEDERAL</vt:lpstr>
      <vt:lpstr>FEDERAL_STD_DED</vt:lpstr>
      <vt:lpstr>FedHW</vt:lpstr>
      <vt:lpstr>FLEX_CASH</vt:lpstr>
      <vt:lpstr>FMTR1</vt:lpstr>
      <vt:lpstr>FMTR2</vt:lpstr>
      <vt:lpstr>FMTR3</vt:lpstr>
      <vt:lpstr>FMTR4</vt:lpstr>
      <vt:lpstr>FMTR5</vt:lpstr>
      <vt:lpstr>FMTR6</vt:lpstr>
      <vt:lpstr>FOVR1</vt:lpstr>
      <vt:lpstr>FTAX1</vt:lpstr>
      <vt:lpstr>FTAX2</vt:lpstr>
      <vt:lpstr>FTAX3</vt:lpstr>
      <vt:lpstr>FTAX4</vt:lpstr>
      <vt:lpstr>FTAX5</vt:lpstr>
      <vt:lpstr>FTAX6</vt:lpstr>
      <vt:lpstr>GROSS</vt:lpstr>
      <vt:lpstr>IL_TAX_TBL_ADDL_ALLOW</vt:lpstr>
      <vt:lpstr>IL_TAX_TBL_CREDIT</vt:lpstr>
      <vt:lpstr>IL_TAX_TBL_LOW_INCOME</vt:lpstr>
      <vt:lpstr>IL_TAX_TBL_M</vt:lpstr>
      <vt:lpstr>IL_TAX_TBL_S</vt:lpstr>
      <vt:lpstr>IL_TAX_TBL_STD_DED</vt:lpstr>
      <vt:lpstr>INSTRUCTIONS</vt:lpstr>
      <vt:lpstr>MED_RATE</vt:lpstr>
      <vt:lpstr>MED_TAX_GROSS</vt:lpstr>
      <vt:lpstr>MED_WH</vt:lpstr>
      <vt:lpstr>NY_TAX_TBL_ADDL_ALLOW</vt:lpstr>
      <vt:lpstr>NY_TAX_TBL_CREDIT</vt:lpstr>
      <vt:lpstr>NY_TAX_TBL_LOW_INCOME</vt:lpstr>
      <vt:lpstr>NY_TAX_TBL_M</vt:lpstr>
      <vt:lpstr>NY_TAX_TBL_S</vt:lpstr>
      <vt:lpstr>NY_TAX_TBL_STD_DED</vt:lpstr>
      <vt:lpstr>OPEB_01</vt:lpstr>
      <vt:lpstr>OPEB_02</vt:lpstr>
      <vt:lpstr>OPEB_03</vt:lpstr>
      <vt:lpstr>OPEB_04</vt:lpstr>
      <vt:lpstr>OPEB_05</vt:lpstr>
      <vt:lpstr>OPEB_06</vt:lpstr>
      <vt:lpstr>OPEB_07</vt:lpstr>
      <vt:lpstr>OPEB_08</vt:lpstr>
      <vt:lpstr>OPEB_09</vt:lpstr>
      <vt:lpstr>OPEB_10</vt:lpstr>
      <vt:lpstr>OPEB_11</vt:lpstr>
      <vt:lpstr>OPEB_12</vt:lpstr>
      <vt:lpstr>OPEB_13</vt:lpstr>
      <vt:lpstr>OPEB_14</vt:lpstr>
      <vt:lpstr>OPEB_15</vt:lpstr>
      <vt:lpstr>OPEB_16</vt:lpstr>
      <vt:lpstr>OPEB_17</vt:lpstr>
      <vt:lpstr>OPEB_18</vt:lpstr>
      <vt:lpstr>OPEB_19</vt:lpstr>
      <vt:lpstr>OPEB_20</vt:lpstr>
      <vt:lpstr>OPEB_21</vt:lpstr>
      <vt:lpstr>OPEB_48</vt:lpstr>
      <vt:lpstr>OPEB_50</vt:lpstr>
      <vt:lpstr>OPEB_58</vt:lpstr>
      <vt:lpstr>OPEB_59</vt:lpstr>
      <vt:lpstr>OPEB_67</vt:lpstr>
      <vt:lpstr>OPEB_68</vt:lpstr>
      <vt:lpstr>OPEB_77</vt:lpstr>
      <vt:lpstr>OPEB_78</vt:lpstr>
      <vt:lpstr>OPEB_79</vt:lpstr>
      <vt:lpstr>OPEB_88</vt:lpstr>
      <vt:lpstr>OPEB_89</vt:lpstr>
      <vt:lpstr>OPEB_97</vt:lpstr>
      <vt:lpstr>OPEB_98</vt:lpstr>
      <vt:lpstr>OPEB_99</vt:lpstr>
      <vt:lpstr>OPEB_CBID</vt:lpstr>
      <vt:lpstr>OPEB_EE_Rate</vt:lpstr>
      <vt:lpstr>OPEB_ON</vt:lpstr>
      <vt:lpstr>OPEB_TABLE</vt:lpstr>
      <vt:lpstr>OPEB_WH</vt:lpstr>
      <vt:lpstr>PAY_FACTOR</vt:lpstr>
      <vt:lpstr>PAY_FREQ</vt:lpstr>
      <vt:lpstr>'Paycheck Calculator'!Print_Area</vt:lpstr>
      <vt:lpstr>RET_CODE</vt:lpstr>
      <vt:lpstr>RET_CODE_TABLE</vt:lpstr>
      <vt:lpstr>RET_EE_RATE</vt:lpstr>
      <vt:lpstr>RET_EXCL_B</vt:lpstr>
      <vt:lpstr>RET_EXCL_M</vt:lpstr>
      <vt:lpstr>RET_EXCL_S</vt:lpstr>
      <vt:lpstr>RET_EXCLUSION</vt:lpstr>
      <vt:lpstr>RET_WH</vt:lpstr>
      <vt:lpstr>SBSA1</vt:lpstr>
      <vt:lpstr>SBST1</vt:lpstr>
      <vt:lpstr>SDI</vt:lpstr>
      <vt:lpstr>SDI_RATE</vt:lpstr>
      <vt:lpstr>SDI_TAX_GROSS</vt:lpstr>
      <vt:lpstr>SDI_WH</vt:lpstr>
      <vt:lpstr>SEMI_HALF</vt:lpstr>
      <vt:lpstr>SMTR1</vt:lpstr>
      <vt:lpstr>SOVR1</vt:lpstr>
      <vt:lpstr>SS_MED</vt:lpstr>
      <vt:lpstr>SS_MED_SDI_TAX_GROSS</vt:lpstr>
      <vt:lpstr>SS_RATE</vt:lpstr>
      <vt:lpstr>SS_TAX_GROSS</vt:lpstr>
      <vt:lpstr>SS_WH</vt:lpstr>
      <vt:lpstr>STATE</vt:lpstr>
      <vt:lpstr>STATE_ADDTL_ALLOWANCE</vt:lpstr>
      <vt:lpstr>STATE_ADDTL_EXEMPTIONS</vt:lpstr>
      <vt:lpstr>STATE_EXEMPTIONS</vt:lpstr>
      <vt:lpstr>STATE_LOW_INC_EXEMPT</vt:lpstr>
      <vt:lpstr>STATE_MARITAL_STATUS</vt:lpstr>
      <vt:lpstr>STATE_STD_DED</vt:lpstr>
      <vt:lpstr>STAX1</vt:lpstr>
      <vt:lpstr>STAX2</vt:lpstr>
      <vt:lpstr>STAX3</vt:lpstr>
      <vt:lpstr>STAX4</vt:lpstr>
      <vt:lpstr>STAX5</vt:lpstr>
      <vt:lpstr>STAX6</vt:lpstr>
      <vt:lpstr>Total_AR_Ded</vt:lpstr>
      <vt:lpstr>Total_Flex</vt:lpstr>
      <vt:lpstr>Total_Voluntary_Ded</vt:lpstr>
      <vt:lpstr>TXCRB</vt:lpstr>
      <vt:lpstr>TXCREDIT</vt:lpstr>
      <vt:lpstr>TXCROV2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2023-09-04T05:02:58Z</dcterms:created>
  <dcterms:modified xsi:type="dcterms:W3CDTF">2026-01-26T22:14:27Z</dcterms:modified>
  <cp:category/>
  <cp:contentStatus/>
</cp:coreProperties>
</file>