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00" yWindow="65524" windowWidth="2436" windowHeight="7128" tabRatio="541" activeTab="0"/>
  </bookViews>
  <sheets>
    <sheet name="idls10" sheetId="1" r:id="rId1"/>
  </sheets>
  <definedNames>
    <definedName name="ADDALLOW1">'idls10'!$K$124</definedName>
    <definedName name="CAT">'idls10'!$B$8</definedName>
    <definedName name="CBID">'idls10'!$B$4</definedName>
    <definedName name="Days_in_Pay_Period">'idls10'!$D$5</definedName>
    <definedName name="DCA1">'idls10'!$B$22</definedName>
    <definedName name="DCA2">'idls10'!$C$22</definedName>
    <definedName name="DCA3">'idls10'!$D$22</definedName>
    <definedName name="DCA4">'idls10'!$F$22</definedName>
    <definedName name="DCA5">'idls10'!$G$22</definedName>
    <definedName name="DCA6">'idls10'!$H$22</definedName>
    <definedName name="DED1">'idls10'!$U$7</definedName>
    <definedName name="DED2">'idls10'!$U$8</definedName>
    <definedName name="DED3">'idls10'!$U$9</definedName>
    <definedName name="DED4">'idls10'!$U$10</definedName>
    <definedName name="Divided_By">'idls10'!$D$32</definedName>
    <definedName name="EMPCR">'idls10'!$U$17:$V$39</definedName>
    <definedName name="EPMC">'idls10'!$K$14</definedName>
    <definedName name="EPMC_P">'idls10'!$K$13</definedName>
    <definedName name="EPMC2">'idls10'!$V$14</definedName>
    <definedName name="EPMCD">'idls10'!$U$6</definedName>
    <definedName name="FAN1">'idls10'!$K$59</definedName>
    <definedName name="FAN2">'idls10'!$K$60</definedName>
    <definedName name="FAN3">'idls10'!$K$61</definedName>
    <definedName name="FAN4">'idls10'!$K$62</definedName>
    <definedName name="FAN5">'idls10'!$K$63</definedName>
    <definedName name="FAN6">'idls10'!$K$64</definedName>
    <definedName name="FBSA1">'idls10'!$K$75</definedName>
    <definedName name="FBSA2">'idls10'!$K$76</definedName>
    <definedName name="FBSA3">'idls10'!$K$77</definedName>
    <definedName name="FBSA4">'idls10'!$K$78</definedName>
    <definedName name="FBSA5">'idls10'!$K$79</definedName>
    <definedName name="FBSA6">'idls10'!$K$80</definedName>
    <definedName name="FBST1">'idls10'!$K$91</definedName>
    <definedName name="FBST2">'idls10'!$K$92</definedName>
    <definedName name="FBST3">'idls10'!$K$93</definedName>
    <definedName name="FBST4">'idls10'!$K$94</definedName>
    <definedName name="FBST5">'idls10'!$K$95</definedName>
    <definedName name="FBST6">'idls10'!$K$96</definedName>
    <definedName name="FEDE">'idls10'!$D$13</definedName>
    <definedName name="FEDERAL">'idls10'!$X$1:$X$25</definedName>
    <definedName name="FEDEXM">'idls10'!$K$57</definedName>
    <definedName name="FEDEXMPT1">'idls10'!$AF$2</definedName>
    <definedName name="FEDM">'idls10'!$B$13</definedName>
    <definedName name="FMTR1">'idls10'!$K$83</definedName>
    <definedName name="FMTR2">'idls10'!$K$84</definedName>
    <definedName name="FMTR3">'idls10'!$K$85</definedName>
    <definedName name="FMTR4">'idls10'!$K$86</definedName>
    <definedName name="FMTR5">'idls10'!$K$87</definedName>
    <definedName name="FMTR6">'idls10'!$K$88</definedName>
    <definedName name="FOVR1">'idls10'!$K$99</definedName>
    <definedName name="FOVR2">'idls10'!$K$100</definedName>
    <definedName name="FOVR3">'idls10'!$K$101</definedName>
    <definedName name="FOVR4">'idls10'!$K$102</definedName>
    <definedName name="FOVR5">'idls10'!$K$103</definedName>
    <definedName name="FOVR6">'idls10'!$K$104</definedName>
    <definedName name="FTA1">'idls10'!$K$107</definedName>
    <definedName name="FTA2">'idls10'!$K$108</definedName>
    <definedName name="FTA3">'idls10'!$K$109</definedName>
    <definedName name="FTAX1">'idls10'!$K$115</definedName>
    <definedName name="FTAX2">'idls10'!$K$116</definedName>
    <definedName name="FTAX3">'idls10'!$K$117</definedName>
    <definedName name="FTAX4">'idls10'!$K$118</definedName>
    <definedName name="FTAX5">'idls10'!$K$119</definedName>
    <definedName name="FTAX6">'idls10'!$K$120</definedName>
    <definedName name="FTG1">'idls10'!$K$67</definedName>
    <definedName name="FTG2">'idls10'!$K$68</definedName>
    <definedName name="FTG3">'idls10'!$K$69</definedName>
    <definedName name="FTG4">'idls10'!$K$70</definedName>
    <definedName name="FTG5">'idls10'!$K$71</definedName>
    <definedName name="FTG6">'idls10'!$K$72</definedName>
    <definedName name="FTXTBLM1">'idls10'!$AF$18:$AH$26</definedName>
    <definedName name="FTXTBLSH1">'idls10'!$AF$6:$AH$14</definedName>
    <definedName name="Full_Net">'idls10'!$B$30</definedName>
    <definedName name="Gross_Net">'idls10'!$K$2</definedName>
    <definedName name="Grs_Full_Supple">'idls10'!$B$33</definedName>
    <definedName name="IDL_2_3">'idls10'!$K$5</definedName>
    <definedName name="IDL_23_Days">'idls10'!$B$20</definedName>
    <definedName name="IDL_23_Grs">'idls10'!$P$11</definedName>
    <definedName name="IDL_23_Hrs">'idls10'!$C$20</definedName>
    <definedName name="IDL_23_Net">'idls10'!$F$30</definedName>
    <definedName name="IDL_Full">'idls10'!$K$4</definedName>
    <definedName name="IDL_Full_Days">'idls10'!$B$19</definedName>
    <definedName name="IDL_Full_Hrs">'idls10'!$C$19</definedName>
    <definedName name="IDL_Full_Net">'idls10'!$D$30</definedName>
    <definedName name="IDL_Grs">'idls10'!$P$9</definedName>
    <definedName name="INSTRUCTIONS">'idls10'!$A$42:$H$64</definedName>
    <definedName name="Iss_Date">'idls10'!$P$19:$Q$30</definedName>
    <definedName name="Iss_Mon_Yr">'idls10'!$D$15</definedName>
    <definedName name="IT">'idls10'!$A$1:$H$25</definedName>
    <definedName name="LIE">'idls10'!$K$123</definedName>
    <definedName name="LIEH1">'idls10'!$AM$8</definedName>
    <definedName name="LIEM1">'idls10'!$AK$8</definedName>
    <definedName name="LIEM2">'idls10'!$AL$8</definedName>
    <definedName name="LIES1">'idls10'!$AJ$8</definedName>
    <definedName name="Locked_in_Pay">'idls10'!$D$6</definedName>
    <definedName name="MACROS">'idls10'!$AD$40:$AD$102</definedName>
    <definedName name="Mand_Hold_Factor">'idls10'!$S$52:$T$63</definedName>
    <definedName name="MD_">'idls10'!$W$2</definedName>
    <definedName name="MED">'idls10'!$U$3</definedName>
    <definedName name="MED_">'idls10'!$U$2</definedName>
    <definedName name="NOMED_">'idls10'!$W$3</definedName>
    <definedName name="NOOA_">'idls10'!$V$3</definedName>
    <definedName name="OA_">'idls10'!$V$2</definedName>
    <definedName name="OAC">'idls10'!$B$10</definedName>
    <definedName name="OASDI">'idls10'!$U$5</definedName>
    <definedName name="OASDI_">'idls10'!$U$4</definedName>
    <definedName name="Org_Hr_Rate">'idls10'!$K$7</definedName>
    <definedName name="Org_Sal_Rate">'idls10'!$Q$1</definedName>
    <definedName name="p">'idls10'!$K$13</definedName>
    <definedName name="Pay_Period">'idls10'!$D$8</definedName>
    <definedName name="PAYFACT">'idls10'!$K$56</definedName>
    <definedName name="PayFreq">'idls10'!$B$5</definedName>
    <definedName name="PER1">'idls10'!$V$7</definedName>
    <definedName name="PER2">'idls10'!$V$8</definedName>
    <definedName name="PER3">'idls10'!$V$9</definedName>
    <definedName name="PER4">'idls10'!$V$10</definedName>
    <definedName name="_xlnm.Print_Area" localSheetId="0">'idls10'!$A$1:$H$35</definedName>
    <definedName name="Red_Sal_Rate">'idls10'!$D$3</definedName>
    <definedName name="Red_Sal_Rate2">'idls10'!$N$20</definedName>
    <definedName name="Reg_Days">'idls10'!$B$18</definedName>
    <definedName name="Reg_EPMC">'idls10'!$M$3</definedName>
    <definedName name="Reg_Hrs">'idls10'!$C$18</definedName>
    <definedName name="Reg_Med">'idls10'!$M$5</definedName>
    <definedName name="Reg_Net">'idls10'!$C$30</definedName>
    <definedName name="Reg_Net_Grs">'idls10'!$K$3</definedName>
    <definedName name="Reg_SDI">'idls10'!$M$6</definedName>
    <definedName name="Reg_SS">'idls10'!$M$4</definedName>
    <definedName name="Ret_SM_Exl_Apply">'idls10'!$B$9</definedName>
    <definedName name="Ret_Sp_110210">'idls10'!$Z$197:$AE$205</definedName>
    <definedName name="RETID_TABLE">'idls10'!$Z$3:$AE$193</definedName>
    <definedName name="SADDALL1">'idls10'!$AK$3</definedName>
    <definedName name="SafetyCheck">'idls10'!$V$15</definedName>
    <definedName name="Salary_Per">'idls10'!$G$3</definedName>
    <definedName name="Salary_Rate">'idls10'!$B$3</definedName>
    <definedName name="SBSA1">'idls10'!$K$140</definedName>
    <definedName name="SBSA2">'idls10'!$K$141</definedName>
    <definedName name="SBSA3">'idls10'!$K$142</definedName>
    <definedName name="SBSA4">'idls10'!$K$143</definedName>
    <definedName name="SBSA5">'idls10'!$K$144</definedName>
    <definedName name="SBSA6">'idls10'!$K$145</definedName>
    <definedName name="SBST1">'idls10'!$K$156</definedName>
    <definedName name="SBST2">'idls10'!$K$157</definedName>
    <definedName name="SBST3">'idls10'!$K$158</definedName>
    <definedName name="SBST4">'idls10'!$K$159</definedName>
    <definedName name="SBST5">'idls10'!$K$160</definedName>
    <definedName name="SBST6">'idls10'!$K$161</definedName>
    <definedName name="SDED1">'idls10'!$K$125</definedName>
    <definedName name="SDH1">'idls10'!$AM$13</definedName>
    <definedName name="SDI">'idls10'!$B$11</definedName>
    <definedName name="SDI_CBID">'idls10'!$R$27:$S$47</definedName>
    <definedName name="SDI1">'idls10'!$K$17</definedName>
    <definedName name="SDIGRS">'idls10'!$K$18</definedName>
    <definedName name="SDM1">'idls10'!$AK$13</definedName>
    <definedName name="SDM2">'idls10'!$AL$13</definedName>
    <definedName name="SDS1">'idls10'!$AJ$13</definedName>
    <definedName name="Semi_PP_Days">'idls10'!$G$5</definedName>
    <definedName name="SMTR1">'idls10'!$K$148</definedName>
    <definedName name="SMTR2">'idls10'!$K$149</definedName>
    <definedName name="SMTR3">'idls10'!$K$150</definedName>
    <definedName name="SMTR4">'idls10'!$K$151</definedName>
    <definedName name="SMTR5">'idls10'!$K$152</definedName>
    <definedName name="SMTR6">'idls10'!$K$153</definedName>
    <definedName name="SOVR1">'idls10'!$K$164</definedName>
    <definedName name="SOVR2">'idls10'!$K$165</definedName>
    <definedName name="SOVR3">'idls10'!$K$166</definedName>
    <definedName name="SOVR4">'idls10'!$K$167</definedName>
    <definedName name="SOVR5">'idls10'!$K$168</definedName>
    <definedName name="SOVR6">'idls10'!$K$169</definedName>
    <definedName name="STA">'idls10'!$B$15</definedName>
    <definedName name="STA1">'idls10'!$K$172</definedName>
    <definedName name="STA2">'idls10'!$K$173</definedName>
    <definedName name="STA3">'idls10'!$K$174</definedName>
    <definedName name="STA4">'idls10'!$K$175</definedName>
    <definedName name="STA5">'idls10'!$K$176</definedName>
    <definedName name="STA6">'idls10'!$K$177</definedName>
    <definedName name="STAX1">'idls10'!$K$180</definedName>
    <definedName name="STAX2">'idls10'!$K$181</definedName>
    <definedName name="STAX3">'idls10'!$K$182</definedName>
    <definedName name="STAX4">'idls10'!$K$183</definedName>
    <definedName name="STAX5">'idls10'!$K$184</definedName>
    <definedName name="STAX6">'idls10'!$K$185</definedName>
    <definedName name="STE">'idls10'!$D$14</definedName>
    <definedName name="STG1">'idls10'!$K$132</definedName>
    <definedName name="STG2">'idls10'!$K$133</definedName>
    <definedName name="STG3">'idls10'!$K$134</definedName>
    <definedName name="STG4">'idls10'!$K$135</definedName>
    <definedName name="STG5">'idls10'!$K$136</definedName>
    <definedName name="STG6">'idls10'!$K$137</definedName>
    <definedName name="STM">'idls10'!$B$14</definedName>
    <definedName name="STXTBLH1">'idls10'!$AJ$45:$AL$55</definedName>
    <definedName name="STXTBLM1">'idls10'!$AJ$31:$AL$41</definedName>
    <definedName name="STXTBLS1">'idls10'!$AJ$17:$AL$27</definedName>
    <definedName name="Supple_Gross_Net">'idls10'!$B$32</definedName>
    <definedName name="Tax_Charts">'idls10'!$D$11</definedName>
    <definedName name="TCRM1">'idls10'!$AL$61</definedName>
    <definedName name="TCRM2">'idls10'!$AM$61</definedName>
    <definedName name="TCRM3">'idls10'!$AN$61</definedName>
    <definedName name="TCRS1">'idls10'!$AL$60</definedName>
    <definedName name="TCRS2">'idls10'!$AM$60</definedName>
    <definedName name="TCRS3">'idls10'!$AN$60</definedName>
    <definedName name="TG1">'idls10'!$K$48</definedName>
    <definedName name="TG2">'idls10'!$K$49</definedName>
    <definedName name="TG3">'idls10'!$K$50</definedName>
    <definedName name="TG4">'idls10'!$K$51</definedName>
    <definedName name="TG5">'idls10'!$K$52</definedName>
    <definedName name="TG6">'idls10'!$K$53</definedName>
    <definedName name="Time_Base">'idls10'!$B$6</definedName>
    <definedName name="Time_Base_Hrs">'idls10'!$N$17</definedName>
    <definedName name="TxChart_code">'idls10'!$P$14</definedName>
    <definedName name="TXCRB">'idls10'!$K$126</definedName>
    <definedName name="TXCREDIT">'idls10'!$K$129</definedName>
    <definedName name="TXCROV">'idls10'!$K$127</definedName>
    <definedName name="TXCRR">'idls10'!$K$128</definedName>
    <definedName name="VOLDEDS">'idls10'!$B$21</definedName>
    <definedName name="Withhold_Factor">'idls10'!$T$50</definedName>
    <definedName name="WORK">'idls10'!$J$1:$V$162</definedName>
  </definedNames>
  <calcPr calcMode="manual" fullCalcOnLoad="1"/>
</workbook>
</file>

<file path=xl/sharedStrings.xml><?xml version="1.0" encoding="utf-8"?>
<sst xmlns="http://schemas.openxmlformats.org/spreadsheetml/2006/main" count="1227" uniqueCount="575">
  <si>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</si>
  <si>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</si>
  <si>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</si>
  <si>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</si>
  <si>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</si>
  <si>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</si>
  <si>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</si>
  <si>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</si>
  <si>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</si>
  <si>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</si>
  <si>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</si>
  <si>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</si>
  <si>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</si>
  <si>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</si>
  <si>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</si>
  <si>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</si>
  <si>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EPMC DED</t>
  </si>
  <si>
    <t>EXC AMT</t>
  </si>
  <si>
    <t>%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</si>
  <si>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</si>
  <si>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</si>
  <si>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</si>
  <si>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</si>
  <si>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</si>
  <si>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</si>
  <si>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</si>
  <si>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</si>
  <si>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</si>
  <si>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>SSTXG</t>
  </si>
  <si>
    <t>MEDTXG</t>
  </si>
  <si>
    <t xml:space="preserve">       STANDARD DEDUCTION TABLE</t>
  </si>
  <si>
    <t>TXGRS1</t>
  </si>
  <si>
    <t>TXGRS2</t>
  </si>
  <si>
    <t>TXGRS3</t>
  </si>
  <si>
    <t>RETIREMENT %-L/T/J</t>
  </si>
  <si>
    <t>TXGRS4</t>
  </si>
  <si>
    <t>EPMC%2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</si>
  <si>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</si>
  <si>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</si>
  <si>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</si>
  <si>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</si>
  <si>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</si>
  <si>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</si>
  <si>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</si>
  <si>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</si>
  <si>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</si>
  <si>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</si>
  <si>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</si>
  <si>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</si>
  <si>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</si>
  <si>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</si>
  <si>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</si>
  <si>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</si>
  <si>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</si>
  <si>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</si>
  <si>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</si>
  <si>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</si>
  <si>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</si>
  <si>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</si>
  <si>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</si>
  <si>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</si>
  <si>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</si>
  <si>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</si>
  <si>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</si>
  <si>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</si>
  <si>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</si>
  <si>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</si>
  <si>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</si>
  <si>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</si>
  <si>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</si>
  <si>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</si>
  <si>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</si>
  <si>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</si>
  <si>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</si>
  <si>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</si>
  <si>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</si>
  <si>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</si>
  <si>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</si>
  <si>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</si>
  <si>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</si>
  <si>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</si>
  <si>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</si>
  <si>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</si>
  <si>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</si>
  <si>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</si>
  <si>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</si>
  <si>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</si>
  <si>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</si>
  <si>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</si>
  <si>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</si>
  <si>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</si>
  <si>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</si>
  <si>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</si>
  <si>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</si>
  <si>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</si>
  <si>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</si>
  <si>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</si>
  <si>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</si>
  <si>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</si>
  <si>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</si>
  <si>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</si>
  <si>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</si>
  <si>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</si>
  <si>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</si>
  <si>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</si>
  <si>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</si>
  <si>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</si>
  <si>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</si>
  <si>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</si>
  <si>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</si>
  <si>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</si>
  <si>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</si>
  <si>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</si>
  <si>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</si>
  <si>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</si>
  <si>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</si>
  <si>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</si>
  <si>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</si>
  <si>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</si>
  <si>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</si>
  <si>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</si>
  <si>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</si>
  <si>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</si>
  <si>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</si>
  <si>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</si>
  <si>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</si>
  <si>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</si>
  <si>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</si>
  <si>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</si>
  <si>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</si>
  <si>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</si>
  <si>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</si>
  <si>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</si>
  <si>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</si>
  <si>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</si>
  <si>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</si>
  <si>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</si>
  <si>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</si>
  <si>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</si>
  <si>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</si>
  <si>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</si>
  <si>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</si>
  <si>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</si>
  <si>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</si>
  <si>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</si>
  <si>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</si>
  <si>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</si>
  <si>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</si>
  <si>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</si>
  <si>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</si>
  <si>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</si>
  <si>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</si>
  <si>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</si>
  <si>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</si>
  <si>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</si>
  <si>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</si>
  <si>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</si>
  <si>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</si>
  <si>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</si>
  <si>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</si>
  <si>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</si>
  <si>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</si>
  <si>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</si>
  <si>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</si>
  <si>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</si>
  <si>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</si>
  <si>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</si>
  <si>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</si>
  <si>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</si>
  <si>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</si>
  <si>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</si>
  <si>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</si>
  <si>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</si>
  <si>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</si>
  <si>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</si>
  <si>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</si>
  <si>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</si>
  <si>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</si>
  <si>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</si>
  <si>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</si>
  <si>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</si>
  <si>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</si>
  <si>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</si>
  <si>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</si>
  <si>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</si>
  <si>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</si>
  <si>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</si>
  <si>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</si>
  <si>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</si>
  <si>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</si>
  <si>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</si>
  <si>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</si>
  <si>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</si>
  <si>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</si>
  <si>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</si>
  <si>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</si>
  <si>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</si>
  <si>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</si>
  <si>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Reg Hr Rate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</si>
  <si>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</si>
  <si>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</si>
  <si>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</si>
  <si>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</si>
  <si>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</si>
  <si>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</si>
  <si>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</si>
  <si>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</si>
  <si>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</si>
  <si>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</si>
  <si>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</si>
  <si>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</si>
  <si>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</si>
  <si>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</si>
  <si>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</si>
  <si>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</si>
  <si>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</si>
  <si>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</si>
  <si>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</si>
  <si>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</si>
  <si>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</si>
  <si>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</si>
  <si>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</si>
  <si>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</si>
  <si>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</si>
  <si>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</si>
  <si>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</si>
  <si>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</si>
  <si>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</si>
  <si>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</si>
  <si>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</si>
  <si>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</si>
  <si>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</si>
  <si>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</si>
  <si>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</si>
  <si>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</si>
  <si>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</si>
  <si>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</si>
  <si>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</si>
  <si>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</si>
  <si>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</si>
  <si>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</si>
  <si>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</si>
  <si>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</si>
  <si>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</si>
  <si>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</si>
  <si>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</si>
  <si>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</si>
  <si>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</si>
  <si>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</si>
  <si>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</si>
  <si>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</si>
  <si>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</si>
  <si>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</si>
  <si>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</si>
  <si>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</si>
  <si>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</si>
  <si>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</si>
  <si>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</si>
  <si>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</si>
  <si>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</si>
  <si>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</si>
  <si>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</si>
  <si>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</si>
  <si>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</si>
  <si>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</si>
  <si>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</si>
  <si>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</si>
  <si>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</si>
  <si>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</si>
  <si>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</si>
  <si>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TN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</si>
  <si>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</si>
  <si>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</si>
  <si>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</si>
  <si>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</si>
  <si>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</si>
  <si>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</si>
  <si>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</si>
  <si>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</si>
  <si>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</si>
  <si>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</si>
  <si>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</si>
  <si>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</si>
  <si>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</si>
  <si>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</si>
  <si>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</si>
  <si>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IDL Grs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</si>
  <si>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</si>
  <si>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</si>
  <si>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</si>
  <si>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</si>
  <si>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</si>
  <si>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</si>
  <si>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</si>
  <si>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</si>
  <si>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</si>
  <si>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</si>
  <si>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</si>
  <si>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</si>
  <si>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</si>
  <si>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</si>
  <si>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</si>
  <si>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</si>
  <si>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Grs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</si>
  <si>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</si>
  <si>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</si>
  <si>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</si>
  <si>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</si>
  <si>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</si>
  <si>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</si>
  <si>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</si>
  <si>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</si>
  <si>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</si>
  <si>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</si>
  <si>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Reg + Full Grs</t>
  </si>
  <si>
    <t>serial</t>
  </si>
  <si>
    <t>tax indicator</t>
  </si>
  <si>
    <t>2/3 Grs</t>
  </si>
  <si>
    <t>Org Sal Rate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</si>
  <si>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</si>
  <si>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</si>
  <si>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</si>
  <si>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</si>
  <si>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</si>
  <si>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</si>
  <si>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</si>
  <si>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</si>
  <si>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</si>
  <si>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</si>
  <si>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</si>
  <si>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</si>
  <si>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</si>
  <si>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</si>
  <si>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</si>
  <si>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</si>
  <si>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</si>
  <si>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</si>
  <si>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</si>
  <si>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</si>
  <si>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</si>
  <si>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</si>
  <si>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</si>
  <si>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</si>
  <si>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</si>
  <si>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</si>
  <si>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</si>
  <si>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</si>
  <si>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</si>
  <si>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</si>
  <si>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</si>
  <si>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</si>
  <si>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</si>
  <si>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Both</t>
  </si>
  <si>
    <t>Ret Chg</t>
  </si>
  <si>
    <t>Locked-in Pay Not</t>
  </si>
  <si>
    <t>Subj to Retirement</t>
  </si>
  <si>
    <t>Fed Tax Rates Effective Date</t>
  </si>
  <si>
    <t>State Tax Rates Effective Date</t>
  </si>
  <si>
    <t>2 - Apr</t>
  </si>
  <si>
    <t>1 - Dec - Mar</t>
  </si>
  <si>
    <t>Pay Period Days</t>
  </si>
  <si>
    <t>Reg Allowances</t>
  </si>
  <si>
    <t>Semi PP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</si>
  <si>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</si>
  <si>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</si>
  <si>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</si>
  <si>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</si>
  <si>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</si>
  <si>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</si>
  <si>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</si>
  <si>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Pay Frequency:</t>
    </r>
    <r>
      <rPr>
        <sz val="12"/>
        <rFont val="Times New Roman"/>
        <family val="1"/>
      </rPr>
      <t xml:space="preserve"> Enter "M" for monthly or "S" for semimonthly pay frequency.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</si>
  <si>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</si>
  <si>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</si>
  <si>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</si>
  <si>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</si>
  <si>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</si>
  <si>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</si>
  <si>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</si>
  <si>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</si>
  <si>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</si>
  <si>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</si>
  <si>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reg+full+23</t>
  </si>
  <si>
    <t>Red SR - D6</t>
  </si>
  <si>
    <t>Ret Reg</t>
  </si>
  <si>
    <t>Org SR-D6</t>
  </si>
  <si>
    <t>EPMC Reg+IDL F</t>
  </si>
  <si>
    <t>SS Reg+IDL F</t>
  </si>
  <si>
    <t>Med Reg+IDL F</t>
  </si>
  <si>
    <t>Fed Reg+IDL F</t>
  </si>
  <si>
    <t>State Reg+IDL F</t>
  </si>
  <si>
    <t>SDI Reg+IDL F</t>
  </si>
  <si>
    <t>Determine Tax Chart</t>
  </si>
  <si>
    <t>Tax Date</t>
  </si>
  <si>
    <t>Issue Date Chart</t>
  </si>
  <si>
    <t>Retirement Gross subject (not reduced)</t>
  </si>
  <si>
    <t>Reg Net Ret</t>
  </si>
  <si>
    <t>IDL Full Net Ret</t>
  </si>
  <si>
    <t>IDL 2/3 Net Ret</t>
  </si>
  <si>
    <t>Reg RetIDL Full Ret</t>
  </si>
  <si>
    <t>Ret Amount</t>
  </si>
  <si>
    <t>(Yes, No, Blank)</t>
  </si>
  <si>
    <t>pay period</t>
  </si>
  <si>
    <t>tax year</t>
  </si>
  <si>
    <t>Pay Frequency (M or S)</t>
  </si>
  <si>
    <t>(M or H)</t>
  </si>
  <si>
    <t>full ret not red sal</t>
  </si>
  <si>
    <t>full ret reduced sal</t>
  </si>
  <si>
    <t>semi reg ret red sal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</si>
  <si>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</si>
  <si>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</si>
  <si>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</si>
  <si>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</si>
  <si>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t>rev N7</t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</si>
  <si>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</si>
  <si>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</si>
  <si>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</si>
  <si>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</si>
  <si>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Time Base field blank. Fractions must be entered with leading zeros - examples 001/002.</t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</si>
  <si>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</si>
  <si>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</si>
  <si>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</si>
  <si>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</si>
  <si>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</si>
  <si>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</si>
  <si>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semi 2/3 ret</t>
  </si>
  <si>
    <t>monthly 2/3 ret</t>
  </si>
  <si>
    <t>Civil Service employees paid monthly or semi-monthly for a specific tax year. All fields are LOCKED</t>
  </si>
  <si>
    <t>For negative employees, enter the monthly salary rate. For BU18 employees enter the monthly salary.</t>
  </si>
  <si>
    <r>
      <t>SDI:</t>
    </r>
    <r>
      <rPr>
        <sz val="12"/>
        <rFont val="Times New Roman"/>
        <family val="1"/>
      </rPr>
      <t xml:space="preserve"> When the Collective Bargaining Unit ID is enter, the calculator will automatically enter a</t>
    </r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</si>
  <si>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</si>
  <si>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</si>
  <si>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</si>
  <si>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</si>
  <si>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</si>
  <si>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</si>
  <si>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</si>
  <si>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Ret Sal Rate</t>
  </si>
  <si>
    <t>Reg Sal Rate</t>
  </si>
  <si>
    <t>1-2</t>
  </si>
  <si>
    <t>10-12</t>
  </si>
  <si>
    <t>3 - May - Oct</t>
  </si>
  <si>
    <t>4 -Nov - Dec</t>
  </si>
  <si>
    <t>reset fields</t>
  </si>
  <si>
    <t>EFF. 1/1/10</t>
  </si>
  <si>
    <t>Taxes Effeictive 1/1/10</t>
  </si>
  <si>
    <t>01/01/10</t>
  </si>
  <si>
    <t>02/01/10</t>
  </si>
  <si>
    <t>03/01/10</t>
  </si>
  <si>
    <t>04/01/10</t>
  </si>
  <si>
    <t>05/01/10</t>
  </si>
  <si>
    <t>06/01/10</t>
  </si>
  <si>
    <t>07/01/10</t>
  </si>
  <si>
    <t>08/01/10</t>
  </si>
  <si>
    <t>09/01/10</t>
  </si>
  <si>
    <t>10/01/10</t>
  </si>
  <si>
    <t>11/01/10</t>
  </si>
  <si>
    <t>12/01/10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</si>
  <si>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</si>
  <si>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</si>
  <si>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</si>
  <si>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</si>
  <si>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</si>
  <si>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</si>
  <si>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</si>
  <si>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</si>
  <si>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</si>
  <si>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</si>
  <si>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</si>
  <si>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</si>
  <si>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</si>
  <si>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</si>
  <si>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CALIFORNIA STATE CONTROLLER'S OFFICE IDL SUPPLEMENTATION CALCULATOR-2010 (EFF. 1/1/10)</t>
  </si>
  <si>
    <t>semi idl full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</si>
  <si>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</si>
  <si>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</si>
  <si>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</si>
  <si>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</si>
  <si>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</si>
  <si>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</si>
  <si>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</si>
  <si>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</si>
  <si>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</si>
  <si>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</si>
  <si>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</si>
  <si>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</si>
  <si>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</si>
  <si>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</si>
  <si>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</si>
  <si>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</si>
  <si>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</si>
  <si>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</si>
  <si>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</si>
  <si>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</si>
  <si>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</si>
  <si>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</si>
  <si>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</si>
  <si>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</si>
  <si>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</si>
  <si>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</si>
  <si>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</si>
  <si>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</si>
  <si>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</si>
  <si>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</si>
  <si>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</si>
  <si>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</si>
  <si>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</si>
  <si>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6T</t>
  </si>
  <si>
    <t>6U</t>
  </si>
  <si>
    <t>9E</t>
  </si>
  <si>
    <t>9F</t>
  </si>
  <si>
    <t>9G</t>
  </si>
  <si>
    <t>9H</t>
  </si>
  <si>
    <t>9J</t>
  </si>
  <si>
    <t>9L</t>
  </si>
  <si>
    <t>9M</t>
  </si>
  <si>
    <t>Ret Tble ID</t>
  </si>
  <si>
    <t>Pay Per Date</t>
  </si>
  <si>
    <t>Year</t>
  </si>
  <si>
    <t>9/1/2010=&gt;</t>
  </si>
  <si>
    <t>BU8 3A 10%</t>
  </si>
  <si>
    <t>BU8 3B 10%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</si>
  <si>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</si>
  <si>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</si>
  <si>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</si>
  <si>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</si>
  <si>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</si>
  <si>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</si>
  <si>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</si>
  <si>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</si>
  <si>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</si>
  <si>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s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</si>
  <si>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</si>
  <si>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</si>
  <si>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</si>
  <si>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</si>
  <si>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</si>
  <si>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</si>
  <si>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</si>
  <si>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</si>
  <si>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</si>
  <si>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</si>
  <si>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Retirment Chg</t>
  </si>
  <si>
    <t>Date</t>
  </si>
  <si>
    <t>Msg</t>
  </si>
  <si>
    <t>Retirement Info per Personnel Ltr 10-022</t>
  </si>
  <si>
    <t>Retirement Info per Personnel Ltr 10-xxx</t>
  </si>
  <si>
    <t>BU7 - S/M/C 4A 8%</t>
  </si>
  <si>
    <t>11/1/2010=&gt;</t>
  </si>
  <si>
    <t>BU7 - S/M/C 5E 11%</t>
  </si>
  <si>
    <t>BU7 - S/M/C 5F 11%</t>
  </si>
  <si>
    <t>BU6 - S/M 5J 11%</t>
  </si>
  <si>
    <t>BU6 - S/M 5K 11%</t>
  </si>
  <si>
    <t>SPECIAL RETIRE INFO 11/2/10</t>
  </si>
  <si>
    <t>CA Science S/M/C 5C 11%</t>
  </si>
  <si>
    <t>CA Science S/M/C 5D 11%</t>
  </si>
  <si>
    <t>retirement plan in effect for the pay period being calculated. For Excluded/Exempts employee's use "U".</t>
  </si>
  <si>
    <t>BU8 - S/M 3A 10%</t>
  </si>
  <si>
    <t>BU8 - S/M 3B 10%</t>
  </si>
  <si>
    <t>r01</t>
  </si>
  <si>
    <t>rev. 08/01 11:49am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</si>
  <si>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</t>
    </r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</si>
  <si>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 </t>
    </r>
  </si>
  <si>
    <t>enter "99".</t>
  </si>
  <si>
    <t>Government Code 19871 for federal tax purposes. If the employee claims exempt from federal taxes,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</si>
  <si>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 </t>
    </r>
  </si>
  <si>
    <t xml:space="preserve">single;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</si>
  <si>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 </t>
    </r>
  </si>
  <si>
    <t xml:space="preserve">state tax, enter "99". 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</si>
  <si>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day of </t>
    </r>
  </si>
  <si>
    <t>state taxes, leave field BLANK.</t>
  </si>
  <si>
    <t xml:space="preserve">injury per Government Code 19871 for state tax purposes. If the employee claims exempt from </t>
  </si>
  <si>
    <t>enter the next month and year of the Reguar Pay payment's pay period.</t>
  </si>
  <si>
    <t xml:space="preserve">Code 19871 for state tax purposes. (NOTE: This calculates only the California state tax). "S" for  </t>
  </si>
  <si>
    <t xml:space="preserve">day of injury per Government Code 19871 for state tax purposes.  If the employee claims exempt from </t>
  </si>
  <si>
    <t xml:space="preserve">Code 19871 for federal tax purposes. "S" for single/head of household; "M" for married.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</si>
</sst>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</numFmts>
  <fonts count="6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Tms Rmn"/>
      <family val="0"/>
    </font>
    <font>
      <u val="single"/>
      <sz val="12"/>
      <color indexed="20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8" fontId="9" fillId="0" borderId="0" xfId="43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7" fillId="33" borderId="13" xfId="0" applyNumberFormat="1" applyFont="1" applyFill="1" applyBorder="1" applyAlignment="1" applyProtection="1">
      <alignment horizontal="right"/>
      <protection locked="0"/>
    </xf>
    <xf numFmtId="8" fontId="57" fillId="33" borderId="13" xfId="43" applyFont="1" applyFill="1" applyBorder="1" applyAlignment="1" applyProtection="1">
      <alignment horizontal="right"/>
      <protection locked="0"/>
    </xf>
    <xf numFmtId="8" fontId="57" fillId="34" borderId="0" xfId="43" applyFont="1" applyFill="1" applyBorder="1" applyAlignment="1" applyProtection="1">
      <alignment horizontal="right"/>
      <protection/>
    </xf>
    <xf numFmtId="0" fontId="57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8" fontId="9" fillId="0" borderId="0" xfId="0" applyNumberFormat="1" applyFont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5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/>
      <protection/>
    </xf>
    <xf numFmtId="8" fontId="9" fillId="0" borderId="0" xfId="43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9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4" fontId="9" fillId="37" borderId="0" xfId="42" applyFont="1" applyFill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7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59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/>
      <protection/>
    </xf>
    <xf numFmtId="0" fontId="9" fillId="0" borderId="0" xfId="42" applyNumberFormat="1" applyFont="1" applyBorder="1" applyAlignment="1" applyProtection="1">
      <alignment/>
      <protection/>
    </xf>
    <xf numFmtId="14" fontId="9" fillId="0" borderId="0" xfId="42" applyNumberFormat="1" applyFont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8" fontId="9" fillId="34" borderId="0" xfId="43" applyFont="1" applyFill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7" fontId="9" fillId="0" borderId="0" xfId="0" applyNumberFormat="1" applyFont="1" applyAlignment="1" applyProtection="1">
      <alignment/>
      <protection/>
    </xf>
    <xf numFmtId="0" fontId="9" fillId="38" borderId="0" xfId="0" applyFont="1" applyFill="1" applyAlignment="1" applyProtection="1">
      <alignment horizontal="left"/>
      <protection/>
    </xf>
    <xf numFmtId="167" fontId="9" fillId="38" borderId="0" xfId="0" applyNumberFormat="1" applyFont="1" applyFill="1" applyAlignment="1" applyProtection="1">
      <alignment/>
      <protection/>
    </xf>
    <xf numFmtId="4" fontId="9" fillId="0" borderId="0" xfId="42" applyFont="1" applyBorder="1" applyAlignment="1" applyProtection="1" quotePrefix="1">
      <alignment/>
      <protection/>
    </xf>
    <xf numFmtId="0" fontId="9" fillId="39" borderId="0" xfId="0" applyFont="1" applyFill="1" applyAlignment="1" applyProtection="1">
      <alignment horizontal="left"/>
      <protection/>
    </xf>
    <xf numFmtId="167" fontId="9" fillId="39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7" fontId="9" fillId="36" borderId="0" xfId="0" applyNumberFormat="1" applyFont="1" applyFill="1" applyAlignment="1" applyProtection="1">
      <alignment/>
      <protection/>
    </xf>
    <xf numFmtId="188" fontId="9" fillId="36" borderId="0" xfId="42" applyNumberFormat="1" applyFont="1" applyFill="1" applyAlignment="1" applyProtection="1">
      <alignment/>
      <protection/>
    </xf>
    <xf numFmtId="167" fontId="9" fillId="39" borderId="0" xfId="0" applyNumberFormat="1" applyFont="1" applyFill="1" applyAlignment="1" applyProtection="1">
      <alignment horizontal="right"/>
      <protection/>
    </xf>
    <xf numFmtId="174" fontId="9" fillId="0" borderId="0" xfId="0" applyNumberFormat="1" applyFont="1" applyAlignment="1" applyProtection="1">
      <alignment/>
      <protection/>
    </xf>
    <xf numFmtId="0" fontId="57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39" borderId="0" xfId="0" applyNumberFormat="1" applyFont="1" applyFill="1" applyAlignment="1" applyProtection="1">
      <alignment horizontal="left"/>
      <protection/>
    </xf>
    <xf numFmtId="0" fontId="9" fillId="39" borderId="0" xfId="0" applyNumberFormat="1" applyFont="1" applyFill="1" applyAlignment="1" applyProtection="1">
      <alignment horizontal="right"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40" borderId="0" xfId="0" applyNumberFormat="1" applyFont="1" applyFill="1" applyBorder="1" applyAlignment="1" applyProtection="1">
      <alignment/>
      <protection/>
    </xf>
    <xf numFmtId="7" fontId="9" fillId="40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40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40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41" borderId="25" xfId="0" applyNumberFormat="1" applyFont="1" applyFill="1" applyBorder="1" applyAlignment="1" applyProtection="1">
      <alignment/>
      <protection/>
    </xf>
    <xf numFmtId="7" fontId="9" fillId="40" borderId="23" xfId="0" applyNumberFormat="1" applyFont="1" applyFill="1" applyBorder="1" applyAlignment="1" applyProtection="1">
      <alignment/>
      <protection/>
    </xf>
    <xf numFmtId="7" fontId="9" fillId="40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40" borderId="27" xfId="0" applyNumberFormat="1" applyFont="1" applyFill="1" applyBorder="1" applyAlignment="1" applyProtection="1">
      <alignment/>
      <protection/>
    </xf>
    <xf numFmtId="7" fontId="9" fillId="40" borderId="29" xfId="0" applyNumberFormat="1" applyFont="1" applyFill="1" applyBorder="1" applyAlignment="1" applyProtection="1">
      <alignment/>
      <protection/>
    </xf>
    <xf numFmtId="7" fontId="9" fillId="40" borderId="30" xfId="0" applyNumberFormat="1" applyFont="1" applyFill="1" applyBorder="1" applyAlignment="1" applyProtection="1">
      <alignment/>
      <protection/>
    </xf>
    <xf numFmtId="7" fontId="9" fillId="40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40" borderId="35" xfId="0" applyNumberFormat="1" applyFont="1" applyFill="1" applyBorder="1" applyAlignment="1" applyProtection="1">
      <alignment/>
      <protection/>
    </xf>
    <xf numFmtId="7" fontId="9" fillId="40" borderId="10" xfId="0" applyNumberFormat="1" applyFont="1" applyFill="1" applyBorder="1" applyAlignment="1" applyProtection="1">
      <alignment/>
      <protection/>
    </xf>
    <xf numFmtId="7" fontId="9" fillId="40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9" borderId="0" xfId="0" applyFont="1" applyFill="1" applyAlignment="1" applyProtection="1">
      <alignment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4" fontId="9" fillId="0" borderId="0" xfId="42" applyNumberFormat="1" applyFont="1" applyAlignment="1" applyProtection="1">
      <alignment/>
      <protection/>
    </xf>
    <xf numFmtId="0" fontId="59" fillId="34" borderId="14" xfId="0" applyFont="1" applyFill="1" applyBorder="1" applyAlignment="1" applyProtection="1">
      <alignment/>
      <protection/>
    </xf>
    <xf numFmtId="4" fontId="9" fillId="0" borderId="0" xfId="0" applyNumberFormat="1" applyFont="1" applyAlignment="1" applyProtection="1">
      <alignment horizontal="left"/>
      <protection/>
    </xf>
    <xf numFmtId="22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84" fontId="9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/>
    </xf>
    <xf numFmtId="14" fontId="5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05"/>
  <sheetViews>
    <sheetView showGridLines="0" tabSelected="1" workbookViewId="0" topLeftCell="A1">
      <selection activeCell="A1" sqref="A1"/>
    </sheetView>
  </sheetViews>
  <sheetFormatPr defaultColWidth="10.69921875" defaultRowHeight="15"/>
  <cols>
    <col min="1" max="1" width="20" style="7" customWidth="1"/>
    <col min="2" max="2" width="9.69921875" style="7" customWidth="1"/>
    <col min="3" max="3" width="12.8984375" style="7" customWidth="1"/>
    <col min="4" max="4" width="9.69921875" style="7" customWidth="1"/>
    <col min="5" max="5" width="1.1015625" style="7" customWidth="1"/>
    <col min="6" max="6" width="9.69921875" style="7" customWidth="1"/>
    <col min="7" max="7" width="12.796875" style="7" customWidth="1"/>
    <col min="8" max="8" width="13.796875" style="7" customWidth="1"/>
    <col min="9" max="9" width="7.09765625" style="7" customWidth="1"/>
    <col min="10" max="10" width="11.296875" style="7" customWidth="1"/>
    <col min="11" max="11" width="11.8984375" style="14" customWidth="1"/>
    <col min="12" max="12" width="3.09765625" style="7" customWidth="1"/>
    <col min="13" max="13" width="14.1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296875" style="7" customWidth="1"/>
    <col min="24" max="24" width="11.8984375" style="84" customWidth="1"/>
    <col min="25" max="25" width="5.796875" style="7" customWidth="1"/>
    <col min="26" max="26" width="5.296875" style="21" bestFit="1" customWidth="1"/>
    <col min="27" max="27" width="11" style="7" customWidth="1"/>
    <col min="28" max="28" width="7.69921875" style="7" bestFit="1" customWidth="1"/>
    <col min="29" max="29" width="3.796875" style="7" bestFit="1" customWidth="1"/>
    <col min="30" max="30" width="7.8984375" style="7" bestFit="1" customWidth="1"/>
    <col min="31" max="31" width="11.19921875" style="7" bestFit="1" customWidth="1"/>
    <col min="32" max="32" width="10.69921875" style="7" customWidth="1"/>
    <col min="33" max="33" width="10.296875" style="7" bestFit="1" customWidth="1"/>
    <col min="34" max="35" width="10.69921875" style="7" customWidth="1"/>
    <col min="36" max="36" width="11.3984375" style="7" customWidth="1"/>
    <col min="37" max="40" width="10.69921875" style="7" customWidth="1"/>
    <col min="41" max="41" width="11.3984375" style="7" customWidth="1"/>
    <col min="42" max="42" width="9.8984375" style="7" customWidth="1"/>
    <col min="43" max="43" width="11.8984375" style="7" customWidth="1"/>
    <col min="44" max="16384" width="10.69921875" style="7" customWidth="1"/>
  </cols>
  <sheetData>
    <row r="1" spans="1:42" ht="13.5" thickBot="1">
      <c r="A1" s="1" t="s">
        <v>471</v>
      </c>
      <c r="B1" s="12"/>
      <c r="C1" s="12"/>
      <c r="D1" s="12"/>
      <c r="E1" s="12"/>
      <c r="F1" s="12"/>
      <c r="J1" s="182" t="s">
        <v>306</v>
      </c>
      <c r="K1" s="182"/>
      <c r="L1" s="13"/>
      <c r="M1" s="14" t="s">
        <v>314</v>
      </c>
      <c r="N1" s="14">
        <f>Reg_Net_Grs+IDL_Full</f>
        <v>3090.91</v>
      </c>
      <c r="P1" s="15" t="s">
        <v>318</v>
      </c>
      <c r="Q1" s="14">
        <f>IF(G3="H",Salary_Rate,IF(ISBLANK(Time_Base),Salary_Rate,(Salary_Rate/RIGHT(Time_Base,3))*LEFT(Time_Base,3)))</f>
        <v>4000</v>
      </c>
      <c r="R1" s="14" t="s">
        <v>277</v>
      </c>
      <c r="V1" s="9" t="s">
        <v>0</v>
      </c>
      <c r="W1" s="9" t="s">
        <v>1</v>
      </c>
      <c r="X1" s="86" t="s">
        <v>164</v>
      </c>
      <c r="Y1" s="9"/>
      <c r="AA1" s="7" t="s">
        <v>205</v>
      </c>
      <c r="AF1" s="9" t="s">
        <v>2</v>
      </c>
      <c r="AK1" s="9" t="s">
        <v>3</v>
      </c>
      <c r="AP1" s="9"/>
    </row>
    <row r="2" spans="1:42" ht="27.75" customHeight="1" thickTop="1">
      <c r="A2" s="16" t="s">
        <v>166</v>
      </c>
      <c r="B2" s="11"/>
      <c r="C2" s="11"/>
      <c r="D2" s="11"/>
      <c r="E2" s="11"/>
      <c r="F2" s="11"/>
      <c r="G2" s="175" t="s">
        <v>443</v>
      </c>
      <c r="H2" s="17"/>
      <c r="J2" s="7" t="s">
        <v>195</v>
      </c>
      <c r="K2" s="14">
        <f>ROUND(SUM(K3:K5),2)</f>
        <v>4000</v>
      </c>
      <c r="L2" s="18"/>
      <c r="M2" s="14" t="s">
        <v>281</v>
      </c>
      <c r="N2" s="14">
        <f>N24+N7</f>
        <v>2577.909047272727</v>
      </c>
      <c r="P2" s="14" t="s">
        <v>187</v>
      </c>
      <c r="R2" s="14" t="s">
        <v>278</v>
      </c>
      <c r="S2" s="14" t="str">
        <f>VLOOKUP(CAT,RETID_TABLE,4)</f>
        <v>S</v>
      </c>
      <c r="T2" s="9" t="s">
        <v>5</v>
      </c>
      <c r="U2" s="19">
        <f>IF(S2="M",MD_,IF(S2="s",MD_,0))</f>
        <v>0.0145</v>
      </c>
      <c r="V2" s="7">
        <v>0.062</v>
      </c>
      <c r="W2" s="7">
        <v>0.0145</v>
      </c>
      <c r="X2" s="84">
        <v>0.011</v>
      </c>
      <c r="Z2" s="21" t="s">
        <v>206</v>
      </c>
      <c r="AA2" s="13" t="s">
        <v>207</v>
      </c>
      <c r="AB2" s="7" t="s">
        <v>13</v>
      </c>
      <c r="AC2" s="9" t="s">
        <v>307</v>
      </c>
      <c r="AF2" s="20">
        <v>3650</v>
      </c>
      <c r="AK2" s="9" t="s">
        <v>6</v>
      </c>
      <c r="AP2" s="9"/>
    </row>
    <row r="3" spans="1:42" ht="12.75">
      <c r="A3" s="21" t="s">
        <v>167</v>
      </c>
      <c r="B3" s="22">
        <v>4000</v>
      </c>
      <c r="C3" s="21" t="s">
        <v>366</v>
      </c>
      <c r="D3" s="23"/>
      <c r="E3" s="24"/>
      <c r="F3" s="21" t="s">
        <v>343</v>
      </c>
      <c r="G3" s="25" t="s">
        <v>159</v>
      </c>
      <c r="H3" s="26" t="s">
        <v>404</v>
      </c>
      <c r="J3" s="7" t="s">
        <v>196</v>
      </c>
      <c r="K3" s="159">
        <f>ROUND(IF(AND(Salary_Per="H",Red_Sal_Rate=0),Salary_Rate*K9,IF(AND(Salary_Per="H",Red_Sal_Rate&gt;0),Red_Sal_Rate*K9,IF(Red_Sal_Rate=0,(Org_Sal_Rate/K6)*K9,(((Red_Sal_Rate2/K6)*K9))))),2)</f>
        <v>363.64</v>
      </c>
      <c r="L3" s="27"/>
      <c r="M3" s="14">
        <f>IF(AND(PayFreq&lt;&gt;"S",OR(Reg_Net_Grs=0,Reg_Net_Grs&lt;S3)),0,IF(PayFreq="S",N33,IF(AND(ISBLANK(Red_Sal_Rate),N28&gt;S3),(N28-S3)*EPMC_P,IF(AND(Red_Sal_Rate&gt;0,Reg_Net_Grs&gt;S3),(N22-S3)*EPMC_P,"X"))))</f>
        <v>0</v>
      </c>
      <c r="N3" s="28" t="s">
        <v>11</v>
      </c>
      <c r="P3" s="14">
        <f>IF(IDL_Full=0,0,ROUND(M12-Reg_SS,2))</f>
        <v>169.09</v>
      </c>
      <c r="Q3" s="14" t="s">
        <v>10</v>
      </c>
      <c r="R3" s="14" t="s">
        <v>279</v>
      </c>
      <c r="S3" s="14">
        <f>VLOOKUP(CAT,RETID_TABLE,2)</f>
        <v>513</v>
      </c>
      <c r="T3" s="9" t="s">
        <v>7</v>
      </c>
      <c r="U3" s="20">
        <f>ROUND(Gross_Net*MED_,2)</f>
        <v>58</v>
      </c>
      <c r="V3" s="7">
        <v>0</v>
      </c>
      <c r="W3" s="7">
        <v>0</v>
      </c>
      <c r="Z3" s="21">
        <v>0</v>
      </c>
      <c r="AA3" s="177">
        <v>317</v>
      </c>
      <c r="AB3" s="177">
        <v>0.06</v>
      </c>
      <c r="AC3" s="177" t="s">
        <v>208</v>
      </c>
      <c r="AD3" s="7" t="s">
        <v>4</v>
      </c>
      <c r="AE3" s="7" t="s">
        <v>4</v>
      </c>
      <c r="AF3" s="29" t="s">
        <v>444</v>
      </c>
      <c r="AG3" s="30"/>
      <c r="AH3" s="47"/>
      <c r="AI3" s="47"/>
      <c r="AJ3" s="20"/>
      <c r="AK3" s="20">
        <v>1000</v>
      </c>
      <c r="AO3" s="20"/>
      <c r="AP3" s="20"/>
    </row>
    <row r="4" spans="1:32" ht="12.75">
      <c r="A4" s="21" t="s">
        <v>153</v>
      </c>
      <c r="B4" s="31" t="s">
        <v>558</v>
      </c>
      <c r="C4" s="10" t="s">
        <v>342</v>
      </c>
      <c r="D4" s="21"/>
      <c r="E4" s="32"/>
      <c r="F4" s="33"/>
      <c r="G4" s="21"/>
      <c r="H4" s="34"/>
      <c r="J4" s="7" t="s">
        <v>187</v>
      </c>
      <c r="K4" s="159">
        <f>ROUND(IF(Salary_Per="H",Salary_Rate*K10,(Org_Sal_Rate/K6)*K10),2)</f>
        <v>2727.27</v>
      </c>
      <c r="L4" s="18"/>
      <c r="M4" s="14">
        <f>ROUND(Reg_Net_Grs*OASDI_,2)</f>
        <v>22.55</v>
      </c>
      <c r="N4" s="14" t="s">
        <v>10</v>
      </c>
      <c r="P4" s="14">
        <f>IF(IDL_Full=0,0,ROUND(M13-Reg_Med,2))</f>
        <v>39.55</v>
      </c>
      <c r="Q4" s="14" t="s">
        <v>282</v>
      </c>
      <c r="R4" s="14" t="s">
        <v>280</v>
      </c>
      <c r="S4" s="14">
        <f>IF(OR(W24=1,W25=1),VLOOKUP(CAT,Ret_Sp_110210,3),IF(OR(W14=1,W15=1),0.1,IF(OR(W17=1,W18=1,W19=1,W20=1,W21=1,W22=1,W23=1),VLOOKUP(CAT,Ret_Sp_110210,3),VLOOKUP(CAT,RETID_TABLE,3))))</f>
        <v>0.08</v>
      </c>
      <c r="T4" s="9" t="s">
        <v>8</v>
      </c>
      <c r="U4" s="19">
        <f>IF(S2="S",OA_,0)</f>
        <v>0.062</v>
      </c>
      <c r="V4" s="7" t="s">
        <v>4</v>
      </c>
      <c r="W4" s="7" t="s">
        <v>4</v>
      </c>
      <c r="Z4" s="21">
        <v>1</v>
      </c>
      <c r="AA4" s="177">
        <v>0</v>
      </c>
      <c r="AB4" s="177">
        <v>0</v>
      </c>
      <c r="AC4" s="177" t="s">
        <v>208</v>
      </c>
      <c r="AD4" s="7" t="s">
        <v>4</v>
      </c>
      <c r="AE4" s="7" t="s">
        <v>4</v>
      </c>
      <c r="AF4" s="9" t="s">
        <v>9</v>
      </c>
    </row>
    <row r="5" spans="1:41" ht="12.75">
      <c r="A5" s="21" t="s">
        <v>403</v>
      </c>
      <c r="B5" s="35" t="s">
        <v>159</v>
      </c>
      <c r="C5" s="21" t="s">
        <v>360</v>
      </c>
      <c r="D5" s="36">
        <v>22</v>
      </c>
      <c r="E5" s="37"/>
      <c r="F5" s="38" t="s">
        <v>176</v>
      </c>
      <c r="G5" s="39"/>
      <c r="H5" s="163"/>
      <c r="J5" s="7" t="s">
        <v>188</v>
      </c>
      <c r="K5" s="159">
        <f>(ROUND(IF(Salary_Per="H",Salary_Rate*K11,(Org_Sal_Rate/K6)*K11),2))</f>
        <v>909.09</v>
      </c>
      <c r="L5" s="40"/>
      <c r="M5" s="14">
        <f>ROUND(Reg_Net_Grs*MED_,2)</f>
        <v>5.27</v>
      </c>
      <c r="N5" s="14" t="s">
        <v>7</v>
      </c>
      <c r="P5" s="14">
        <f>IF(IDL_Full=0,0,ROUND(M14-FTAX2,2))</f>
        <v>216.04</v>
      </c>
      <c r="Q5" s="14" t="s">
        <v>283</v>
      </c>
      <c r="R5" s="14" t="s">
        <v>362</v>
      </c>
      <c r="S5" s="14">
        <f>Semi_PP_Days*Time_Base_Hrs</f>
        <v>0</v>
      </c>
      <c r="T5" s="9" t="s">
        <v>10</v>
      </c>
      <c r="U5" s="20">
        <f>ROUND(Gross_Net*OASDI_,2)</f>
        <v>248</v>
      </c>
      <c r="V5" s="41" t="s">
        <v>11</v>
      </c>
      <c r="W5" s="9"/>
      <c r="X5" s="86" t="s">
        <v>541</v>
      </c>
      <c r="Y5" s="9"/>
      <c r="Z5" s="21">
        <v>2</v>
      </c>
      <c r="AA5" s="177">
        <v>0</v>
      </c>
      <c r="AB5" s="177">
        <v>0</v>
      </c>
      <c r="AC5" s="177" t="s">
        <v>208</v>
      </c>
      <c r="AD5" s="7" t="s">
        <v>4</v>
      </c>
      <c r="AE5" s="7" t="s">
        <v>4</v>
      </c>
      <c r="AF5" s="9" t="s">
        <v>12</v>
      </c>
      <c r="AG5" s="9" t="s">
        <v>13</v>
      </c>
      <c r="AH5" s="9" t="s">
        <v>14</v>
      </c>
      <c r="AI5" s="9"/>
      <c r="AJ5" s="9" t="s">
        <v>15</v>
      </c>
      <c r="AO5" s="9"/>
    </row>
    <row r="6" spans="1:44" ht="12.75">
      <c r="A6" s="21" t="s">
        <v>169</v>
      </c>
      <c r="B6" s="42"/>
      <c r="C6" s="21" t="s">
        <v>354</v>
      </c>
      <c r="D6" s="23"/>
      <c r="E6" s="10" t="s">
        <v>355</v>
      </c>
      <c r="G6" s="11"/>
      <c r="H6" s="163"/>
      <c r="I6" s="43"/>
      <c r="J6" s="7" t="s">
        <v>197</v>
      </c>
      <c r="K6" s="14">
        <f>IF(ISBLANK(Time_Base),IF(D5=22,176,168),IF(Days_in_Pay_Period=22,(176/RIGHT(Time_Base,3)*LEFT(Time_Base,3)),168/RIGHT(Time_Base,3)*LEFT(Time_Base,3)))</f>
        <v>176</v>
      </c>
      <c r="M6" s="44">
        <f>IF(SDI="yes",Reg_Net_Grs*X2,0)</f>
        <v>4.000039999999999</v>
      </c>
      <c r="N6" s="44" t="s">
        <v>160</v>
      </c>
      <c r="P6" s="14">
        <f>IF(IDL_Full=0,0,ROUND(M15-STAX2,2))</f>
        <v>50.95</v>
      </c>
      <c r="Q6" s="14" t="s">
        <v>284</v>
      </c>
      <c r="R6" s="14" t="s">
        <v>515</v>
      </c>
      <c r="S6" s="157" t="str">
        <f>VLOOKUP(CAT,RETID_TABLE,1)</f>
        <v>AP</v>
      </c>
      <c r="T6" s="9" t="s">
        <v>16</v>
      </c>
      <c r="U6" s="20">
        <f>IF(OR(B8="NONE",B8="TD",B8="TX",B8="TM",B8="TY",B9=2),U7,IF(AND(OR(B8="MIS",B8="IND"),B10="YES"),U8,IF(B8="POY",U8,IF(AND(OR(B8="MIS",B8="IND"),B10&lt;&gt;"YES"),U9,IF(B8="SAF",U9,IF(OR(B8="POF",B8="POZ"),U10,IF(B8="POX",U11,IF(B8="PAT",U11,0))))))))</f>
        <v>0</v>
      </c>
      <c r="V6" s="9" t="s">
        <v>17</v>
      </c>
      <c r="W6" s="9" t="s">
        <v>18</v>
      </c>
      <c r="X6" s="84" t="s">
        <v>542</v>
      </c>
      <c r="Y6" s="20" t="s">
        <v>543</v>
      </c>
      <c r="Z6" s="21">
        <v>3</v>
      </c>
      <c r="AA6" s="177">
        <v>0</v>
      </c>
      <c r="AB6" s="177">
        <v>0</v>
      </c>
      <c r="AC6" s="177" t="s">
        <v>209</v>
      </c>
      <c r="AD6" s="7" t="s">
        <v>4</v>
      </c>
      <c r="AE6" s="7" t="s">
        <v>4</v>
      </c>
      <c r="AF6" s="20">
        <v>-999999</v>
      </c>
      <c r="AG6" s="20">
        <v>0</v>
      </c>
      <c r="AH6" s="20">
        <v>0</v>
      </c>
      <c r="AI6" s="20"/>
      <c r="AK6" s="9" t="s">
        <v>19</v>
      </c>
      <c r="AM6" s="9" t="s">
        <v>20</v>
      </c>
      <c r="AP6" s="9"/>
      <c r="AR6" s="9"/>
    </row>
    <row r="7" spans="1:44" ht="12.75">
      <c r="A7" s="45" t="s">
        <v>170</v>
      </c>
      <c r="B7" s="46"/>
      <c r="C7" s="10"/>
      <c r="E7" s="47"/>
      <c r="F7" s="11"/>
      <c r="G7" s="11"/>
      <c r="H7" s="26"/>
      <c r="I7" s="43"/>
      <c r="J7" s="7" t="s">
        <v>199</v>
      </c>
      <c r="K7" s="48">
        <f>IF(Salary_Per="H",ROUND(Salary_Rate,5),ROUND(Org_Sal_Rate/K6,5))</f>
        <v>22.72727</v>
      </c>
      <c r="M7" s="49" t="s">
        <v>187</v>
      </c>
      <c r="N7" s="49">
        <f>N22-S3</f>
        <v>-149.36368</v>
      </c>
      <c r="P7" s="15">
        <f>IF(IDL_Full=0,0,ROUND(M16-Reg_SDI,2))</f>
        <v>30</v>
      </c>
      <c r="Q7" s="14" t="s">
        <v>160</v>
      </c>
      <c r="R7" s="14" t="s">
        <v>305</v>
      </c>
      <c r="U7" s="7">
        <v>0</v>
      </c>
      <c r="V7" s="7">
        <v>0</v>
      </c>
      <c r="X7" s="179">
        <f>IF(OR(W17=1,W18=1,W19=1,W20=1,W21=1,W22=1,W23=1,W24=1,W25=1),VLOOKUP(CAT,Ret_Sp_110210,5),VLOOKUP(CAT,RETID_TABLE,5))</f>
        <v>39022</v>
      </c>
      <c r="Y7" s="20" t="str">
        <f>IF(OR(W17=1,W18=1,W19=1,W20=1,W21=1,W22=1,W23=1,W24=1,W25=1),VLOOKUP(CAT,Ret_Sp_110210,6),VLOOKUP(CAT,RETID_TABLE,6))</f>
        <v>Retirement Info per Personnel Ltr 10-xxx</v>
      </c>
      <c r="Z7" s="21">
        <v>4</v>
      </c>
      <c r="AA7" s="177">
        <v>0</v>
      </c>
      <c r="AB7" s="177">
        <v>0</v>
      </c>
      <c r="AC7" s="177" t="s">
        <v>209</v>
      </c>
      <c r="AD7" s="7" t="s">
        <v>4</v>
      </c>
      <c r="AE7" s="7" t="s">
        <v>4</v>
      </c>
      <c r="AF7" s="20">
        <v>6050</v>
      </c>
      <c r="AG7" s="20">
        <v>0.1</v>
      </c>
      <c r="AH7" s="20">
        <v>0</v>
      </c>
      <c r="AI7" s="20"/>
      <c r="AJ7" s="41" t="s">
        <v>23</v>
      </c>
      <c r="AK7" s="41" t="s">
        <v>24</v>
      </c>
      <c r="AL7" s="9" t="s">
        <v>25</v>
      </c>
      <c r="AM7" s="9" t="s">
        <v>26</v>
      </c>
      <c r="AO7" s="41"/>
      <c r="AP7" s="41"/>
      <c r="AQ7" s="9"/>
      <c r="AR7" s="9"/>
    </row>
    <row r="8" spans="1:44" ht="12.75">
      <c r="A8" s="41" t="s">
        <v>171</v>
      </c>
      <c r="B8" s="50" t="s">
        <v>522</v>
      </c>
      <c r="C8" s="21" t="s">
        <v>172</v>
      </c>
      <c r="D8" s="51">
        <v>11</v>
      </c>
      <c r="E8" s="151" t="s">
        <v>363</v>
      </c>
      <c r="F8" s="51">
        <v>10</v>
      </c>
      <c r="H8" s="52"/>
      <c r="J8" s="7" t="s">
        <v>198</v>
      </c>
      <c r="K8" s="48">
        <f>IF(Salary_Per="H",ROUND(Red_Sal_Rate,5),ROUND(Red_Sal_Rate2/K6,5))</f>
        <v>22.72727</v>
      </c>
      <c r="M8" s="14">
        <f>IF(IDL_Full=0,0,IF(AND(PayFreq="S",Red_Sal_Rate&gt;0,Reg_EPMC=0,Ret_SM_Exl_Apply="Yes",N24&gt;S3),(N24+N7)*EPMC_P,IF(AND(PayFreq="s",OR(Ret_SM_Exl_Apply="N",Ret_SM_Exl_Apply="no")),N24*EPMC_P,IF(ISBLANK(Red_Sal_Rate),N32,IF(Red_Sal_Rate&gt;0,N34,0)))))</f>
        <v>206.23</v>
      </c>
      <c r="N8" s="14" t="s">
        <v>11</v>
      </c>
      <c r="P8" s="14">
        <f>SUM(P3:P7)</f>
        <v>505.62999999999994</v>
      </c>
      <c r="Q8" s="14" t="s">
        <v>285</v>
      </c>
      <c r="R8" s="14" t="s">
        <v>303</v>
      </c>
      <c r="S8" s="15">
        <f>Full_Net-(SUM(C30:F30))</f>
        <v>63.51999999999998</v>
      </c>
      <c r="U8" s="7">
        <v>513</v>
      </c>
      <c r="V8" s="7">
        <v>0.05</v>
      </c>
      <c r="Y8" s="20"/>
      <c r="Z8" s="21">
        <v>5</v>
      </c>
      <c r="AA8" s="177">
        <v>317</v>
      </c>
      <c r="AB8" s="177">
        <v>0</v>
      </c>
      <c r="AC8" s="177" t="s">
        <v>208</v>
      </c>
      <c r="AD8" s="7" t="s">
        <v>4</v>
      </c>
      <c r="AE8" s="7" t="s">
        <v>4</v>
      </c>
      <c r="AF8" s="20">
        <v>10425</v>
      </c>
      <c r="AG8" s="20">
        <v>0.15</v>
      </c>
      <c r="AH8" s="20">
        <v>437.5</v>
      </c>
      <c r="AI8" s="20"/>
      <c r="AJ8" s="53">
        <v>11130</v>
      </c>
      <c r="AK8" s="53">
        <v>11130</v>
      </c>
      <c r="AL8" s="53">
        <v>22261</v>
      </c>
      <c r="AM8" s="53">
        <v>22261</v>
      </c>
      <c r="AO8" s="53"/>
      <c r="AP8" s="53"/>
      <c r="AQ8" s="53"/>
      <c r="AR8" s="53"/>
    </row>
    <row r="9" spans="1:35" ht="12.75">
      <c r="A9" s="41" t="s">
        <v>204</v>
      </c>
      <c r="B9" s="54"/>
      <c r="C9" s="10" t="s">
        <v>400</v>
      </c>
      <c r="D9" s="55" t="s">
        <v>364</v>
      </c>
      <c r="E9" s="56"/>
      <c r="F9" s="57" t="s">
        <v>365</v>
      </c>
      <c r="G9" s="56"/>
      <c r="H9" s="26"/>
      <c r="J9" s="7" t="s">
        <v>200</v>
      </c>
      <c r="K9" s="14">
        <f>(Reg_Days*Time_Base_Hrs)+C18</f>
        <v>16</v>
      </c>
      <c r="M9" s="14" t="s">
        <v>188</v>
      </c>
      <c r="N9" s="14">
        <f>N2*EPMC_P</f>
        <v>206.23272378181818</v>
      </c>
      <c r="P9" s="14">
        <f>IF(IDL_Full=0,0,ROUND(IDL_Full-P8,2))</f>
        <v>2221.64</v>
      </c>
      <c r="Q9" s="14" t="s">
        <v>286</v>
      </c>
      <c r="R9" s="14" t="s">
        <v>304</v>
      </c>
      <c r="S9" s="15">
        <f>Supple_Gross_Net/Divided_By</f>
        <v>104.559670781893</v>
      </c>
      <c r="T9" s="19"/>
      <c r="U9" s="7">
        <v>317</v>
      </c>
      <c r="V9" s="7">
        <v>0.06</v>
      </c>
      <c r="Y9" s="20"/>
      <c r="Z9" s="21">
        <v>6</v>
      </c>
      <c r="AA9" s="177">
        <v>317</v>
      </c>
      <c r="AB9" s="177">
        <v>0</v>
      </c>
      <c r="AC9" s="177" t="s">
        <v>159</v>
      </c>
      <c r="AD9" s="7" t="s">
        <v>4</v>
      </c>
      <c r="AE9" s="7" t="s">
        <v>4</v>
      </c>
      <c r="AF9" s="20">
        <v>36050</v>
      </c>
      <c r="AG9" s="20">
        <v>0.25</v>
      </c>
      <c r="AH9" s="20">
        <v>4281.25</v>
      </c>
      <c r="AI9" s="20"/>
    </row>
    <row r="10" spans="1:41" ht="12.75">
      <c r="A10" s="41" t="s">
        <v>377</v>
      </c>
      <c r="B10" s="58"/>
      <c r="C10" s="10"/>
      <c r="D10" s="59">
        <f>IF(TxChart_code=1,R14,R15)</f>
        <v>38717</v>
      </c>
      <c r="E10" s="7" t="s">
        <v>356</v>
      </c>
      <c r="H10" s="26"/>
      <c r="J10" s="7" t="s">
        <v>201</v>
      </c>
      <c r="K10" s="14">
        <f>(IDL_Full_Days*Time_Base_Hrs)+C19</f>
        <v>120</v>
      </c>
      <c r="M10" s="14">
        <f>ROUND(IF(Gross_Net&lt;S3,0,IF(AND(PayFreq="S",LEFT(Ret_SM_Exl_Apply,1)="n"),N25*EPMC_P,N37)),2)</f>
        <v>72.73</v>
      </c>
      <c r="N10" s="14" t="s">
        <v>11</v>
      </c>
      <c r="P10" s="14" t="s">
        <v>188</v>
      </c>
      <c r="R10" s="14" t="s">
        <v>181</v>
      </c>
      <c r="S10" s="15">
        <f>ROUND(Grs_Full_Supple/Org_Hr_Rate,0)</f>
        <v>5</v>
      </c>
      <c r="T10" s="20"/>
      <c r="U10" s="7">
        <v>238</v>
      </c>
      <c r="V10" s="7">
        <v>0.08</v>
      </c>
      <c r="Y10" s="20"/>
      <c r="Z10" s="21">
        <v>7</v>
      </c>
      <c r="AA10" s="177">
        <v>317</v>
      </c>
      <c r="AB10" s="177">
        <v>0</v>
      </c>
      <c r="AC10" s="177" t="s">
        <v>208</v>
      </c>
      <c r="AD10" s="7" t="s">
        <v>4</v>
      </c>
      <c r="AE10" s="7" t="s">
        <v>4</v>
      </c>
      <c r="AF10" s="20">
        <v>67700</v>
      </c>
      <c r="AG10" s="20">
        <v>0.27</v>
      </c>
      <c r="AH10" s="20">
        <v>12193.75</v>
      </c>
      <c r="AI10" s="20"/>
      <c r="AJ10" s="9" t="s">
        <v>30</v>
      </c>
      <c r="AO10" s="9"/>
    </row>
    <row r="11" spans="1:44" ht="12.75">
      <c r="A11" s="41" t="s">
        <v>160</v>
      </c>
      <c r="B11" s="60" t="str">
        <f>IF(LEFT(CBID,1)="R",VLOOKUP(CBID,SDI_CBID,2),"NO")</f>
        <v>YES</v>
      </c>
      <c r="C11" s="10"/>
      <c r="D11" s="59">
        <f>IF(OR(TxChart_code=1,TxChart_code=2),R14,IF(TxChart_code=3,R16,R17))</f>
        <v>38717</v>
      </c>
      <c r="E11" s="7" t="s">
        <v>357</v>
      </c>
      <c r="H11" s="26"/>
      <c r="J11" s="7" t="s">
        <v>202</v>
      </c>
      <c r="K11" s="14">
        <f>(IDL_23_Days*Time_Base_Hrs)+C20</f>
        <v>40</v>
      </c>
      <c r="M11" s="14">
        <f>IF(IDL_Full=0,0,Reg_EPMC+M8)</f>
        <v>206.23</v>
      </c>
      <c r="N11" s="14" t="s">
        <v>385</v>
      </c>
      <c r="P11" s="14">
        <f>ROUND((IDL_2_3/3)*2,2)</f>
        <v>606.06</v>
      </c>
      <c r="Q11" s="14" t="s">
        <v>317</v>
      </c>
      <c r="R11" s="14" t="s">
        <v>180</v>
      </c>
      <c r="S11" s="14">
        <f>IF(Salary_Per="H",0,ROUNDDOWN(S10/Time_Base_Hrs,0))</f>
        <v>0</v>
      </c>
      <c r="T11" s="19"/>
      <c r="U11" s="7">
        <v>863</v>
      </c>
      <c r="V11" s="7">
        <v>0.075</v>
      </c>
      <c r="W11" s="7" t="s">
        <v>517</v>
      </c>
      <c r="Y11" s="20"/>
      <c r="Z11" s="21">
        <v>8</v>
      </c>
      <c r="AA11" s="177">
        <v>513</v>
      </c>
      <c r="AB11" s="177">
        <v>0.05</v>
      </c>
      <c r="AC11" s="177" t="s">
        <v>209</v>
      </c>
      <c r="AD11" s="7" t="s">
        <v>4</v>
      </c>
      <c r="AE11" s="7" t="s">
        <v>4</v>
      </c>
      <c r="AF11" s="20">
        <v>84450</v>
      </c>
      <c r="AG11" s="61">
        <v>0.3</v>
      </c>
      <c r="AH11" s="20">
        <v>16716.25</v>
      </c>
      <c r="AI11" s="20"/>
      <c r="AK11" s="9" t="s">
        <v>19</v>
      </c>
      <c r="AM11" s="9" t="s">
        <v>20</v>
      </c>
      <c r="AP11" s="9"/>
      <c r="AR11" s="9"/>
    </row>
    <row r="12" spans="1:44" ht="12.75">
      <c r="A12" s="1" t="s">
        <v>173</v>
      </c>
      <c r="B12" s="62"/>
      <c r="C12" s="10"/>
      <c r="D12" s="176">
        <f>X7</f>
        <v>39022</v>
      </c>
      <c r="E12" s="181" t="str">
        <f>Y7</f>
        <v>Retirement Info per Personnel Ltr 10-xxx</v>
      </c>
      <c r="H12" s="26"/>
      <c r="J12" s="7" t="s">
        <v>203</v>
      </c>
      <c r="K12" s="14">
        <f>+K9+K10+K11</f>
        <v>176</v>
      </c>
      <c r="M12" s="14">
        <f>IF(IDL_Full=0,0,ROUND((Reg_Net_Grs+IDL_Full)*OASDI_,2))</f>
        <v>191.64</v>
      </c>
      <c r="N12" s="14" t="s">
        <v>386</v>
      </c>
      <c r="P12" s="15" t="s">
        <v>391</v>
      </c>
      <c r="R12" s="14" t="s">
        <v>181</v>
      </c>
      <c r="S12" s="14">
        <f>IF(Salary_Per="H",S10,S10-(S11*Time_Base_Hrs))</f>
        <v>5</v>
      </c>
      <c r="T12" s="19"/>
      <c r="U12" s="7" t="s">
        <v>516</v>
      </c>
      <c r="V12" s="179" t="str">
        <f>IF(AND(D8=12,F8=9),D8&amp;"/01/200"&amp;F8,IF(LEN(D8)=1,"0"&amp;D8&amp;"/01/20"&amp;F8,D8&amp;"/01/20"&amp;F8))</f>
        <v>11/01/2010</v>
      </c>
      <c r="W12" s="180">
        <f>DATEVALUE(V12)</f>
        <v>39021</v>
      </c>
      <c r="X12" s="84">
        <f>LEN(D8)</f>
        <v>2</v>
      </c>
      <c r="Y12" s="20"/>
      <c r="Z12" s="21">
        <v>9</v>
      </c>
      <c r="AA12" s="177">
        <v>317</v>
      </c>
      <c r="AB12" s="177">
        <v>0</v>
      </c>
      <c r="AC12" s="177" t="s">
        <v>159</v>
      </c>
      <c r="AD12" s="7" t="s">
        <v>4</v>
      </c>
      <c r="AE12" s="7" t="s">
        <v>4</v>
      </c>
      <c r="AF12" s="20">
        <v>87700</v>
      </c>
      <c r="AG12" s="61">
        <v>0.28</v>
      </c>
      <c r="AH12" s="20">
        <v>17691.25</v>
      </c>
      <c r="AI12" s="20"/>
      <c r="AJ12" s="41" t="s">
        <v>23</v>
      </c>
      <c r="AK12" s="41" t="s">
        <v>24</v>
      </c>
      <c r="AL12" s="9" t="s">
        <v>25</v>
      </c>
      <c r="AM12" s="9" t="s">
        <v>26</v>
      </c>
      <c r="AO12" s="41"/>
      <c r="AP12" s="41"/>
      <c r="AQ12" s="9"/>
      <c r="AR12" s="9"/>
    </row>
    <row r="13" spans="1:44" ht="12.75">
      <c r="A13" s="41" t="s">
        <v>174</v>
      </c>
      <c r="B13" s="63" t="s">
        <v>159</v>
      </c>
      <c r="C13" s="21" t="s">
        <v>350</v>
      </c>
      <c r="D13" s="63">
        <v>0</v>
      </c>
      <c r="E13" s="10" t="s">
        <v>175</v>
      </c>
      <c r="H13" s="26"/>
      <c r="J13" s="9" t="s">
        <v>22</v>
      </c>
      <c r="K13" s="14">
        <f>+S4</f>
        <v>0.08</v>
      </c>
      <c r="L13" s="64"/>
      <c r="M13" s="14">
        <f>IF(IDL_Full=0,0,ROUND((Reg_Net_Grs+IDL_Full)*MED_,2))</f>
        <v>44.82</v>
      </c>
      <c r="N13" s="14" t="s">
        <v>387</v>
      </c>
      <c r="P13" s="65">
        <f>S18</f>
        <v>38717</v>
      </c>
      <c r="Q13" s="14" t="s">
        <v>315</v>
      </c>
      <c r="R13" s="66">
        <f>+P13</f>
        <v>38717</v>
      </c>
      <c r="S13" s="14" t="s">
        <v>392</v>
      </c>
      <c r="T13" s="19"/>
      <c r="U13" s="7" t="s">
        <v>34</v>
      </c>
      <c r="W13" s="7" t="s">
        <v>518</v>
      </c>
      <c r="X13" s="84">
        <v>38960</v>
      </c>
      <c r="Y13" s="20"/>
      <c r="Z13" s="21">
        <v>10</v>
      </c>
      <c r="AA13" s="177">
        <v>317</v>
      </c>
      <c r="AB13" s="177">
        <v>0.06</v>
      </c>
      <c r="AC13" s="177" t="s">
        <v>208</v>
      </c>
      <c r="AD13" s="7" t="s">
        <v>4</v>
      </c>
      <c r="AE13" s="7" t="s">
        <v>4</v>
      </c>
      <c r="AF13" s="20">
        <v>173900</v>
      </c>
      <c r="AG13" s="20">
        <v>0.33</v>
      </c>
      <c r="AH13" s="20">
        <v>41827.25</v>
      </c>
      <c r="AI13" s="20"/>
      <c r="AJ13" s="53">
        <v>3637</v>
      </c>
      <c r="AK13" s="53">
        <v>3637</v>
      </c>
      <c r="AL13" s="53">
        <v>7274</v>
      </c>
      <c r="AM13" s="53">
        <v>7274</v>
      </c>
      <c r="AO13" s="53"/>
      <c r="AP13" s="53"/>
      <c r="AQ13" s="53"/>
      <c r="AR13" s="53"/>
    </row>
    <row r="14" spans="1:35" ht="12.75">
      <c r="A14" s="41" t="s">
        <v>27</v>
      </c>
      <c r="B14" s="50" t="s">
        <v>159</v>
      </c>
      <c r="C14" s="21" t="s">
        <v>361</v>
      </c>
      <c r="D14" s="63">
        <v>0</v>
      </c>
      <c r="E14" s="10" t="s">
        <v>177</v>
      </c>
      <c r="G14" s="9"/>
      <c r="H14" s="67" t="s">
        <v>4</v>
      </c>
      <c r="J14" s="9" t="s">
        <v>11</v>
      </c>
      <c r="K14" s="28">
        <f>ROUND(Reg_EPMC+M8+M10,2)</f>
        <v>278.96</v>
      </c>
      <c r="L14" s="68"/>
      <c r="M14" s="14">
        <f>FTAX3</f>
        <v>216.04</v>
      </c>
      <c r="N14" s="14" t="s">
        <v>388</v>
      </c>
      <c r="P14" s="65">
        <f>IF(S18=38717,1,"")</f>
        <v>1</v>
      </c>
      <c r="Q14" s="14" t="s">
        <v>316</v>
      </c>
      <c r="R14" s="66">
        <v>38717</v>
      </c>
      <c r="S14" s="69">
        <v>38717</v>
      </c>
      <c r="T14" s="19" t="s">
        <v>352</v>
      </c>
      <c r="U14" s="7" t="s">
        <v>36</v>
      </c>
      <c r="V14" s="7">
        <f>IF(OR(B8="L",B8="T",B8="J"),V10,0)</f>
        <v>0</v>
      </c>
      <c r="W14" s="7">
        <f>IF(AND(OR(CBID="R08",CBID="U"),CAT="3A",W12&gt;=38990),1,0)</f>
        <v>0</v>
      </c>
      <c r="X14" s="84" t="s">
        <v>519</v>
      </c>
      <c r="Z14" s="21">
        <v>11</v>
      </c>
      <c r="AA14" s="177">
        <v>317</v>
      </c>
      <c r="AB14" s="177">
        <v>0</v>
      </c>
      <c r="AC14" s="177" t="s">
        <v>208</v>
      </c>
      <c r="AD14" s="7" t="s">
        <v>4</v>
      </c>
      <c r="AE14" s="7" t="s">
        <v>4</v>
      </c>
      <c r="AF14" s="14">
        <v>375700</v>
      </c>
      <c r="AG14" s="20">
        <v>0.35</v>
      </c>
      <c r="AH14" s="14">
        <v>108421.25</v>
      </c>
      <c r="AI14" s="14"/>
    </row>
    <row r="15" spans="1:45" ht="12.75">
      <c r="A15" s="41" t="s">
        <v>178</v>
      </c>
      <c r="B15" s="54"/>
      <c r="C15" s="70" t="s">
        <v>351</v>
      </c>
      <c r="D15" s="51">
        <v>12</v>
      </c>
      <c r="E15" s="151">
        <v>1</v>
      </c>
      <c r="F15" s="51">
        <v>10</v>
      </c>
      <c r="G15" s="9" t="s">
        <v>21</v>
      </c>
      <c r="H15" s="67"/>
      <c r="J15" s="9" t="s">
        <v>28</v>
      </c>
      <c r="K15" s="14">
        <f>ROUND(Salary_Rate+Reg_Days-IDL_Full_Days,2)</f>
        <v>3987</v>
      </c>
      <c r="L15" s="71"/>
      <c r="M15" s="14">
        <f>STAX3</f>
        <v>50.95</v>
      </c>
      <c r="N15" s="14" t="s">
        <v>389</v>
      </c>
      <c r="O15" s="28"/>
      <c r="P15" s="28" t="s">
        <v>359</v>
      </c>
      <c r="Q15" s="28" t="s">
        <v>441</v>
      </c>
      <c r="R15" s="66">
        <v>38441</v>
      </c>
      <c r="S15" s="69">
        <v>38441</v>
      </c>
      <c r="T15" s="19" t="s">
        <v>283</v>
      </c>
      <c r="U15" s="72" t="s">
        <v>158</v>
      </c>
      <c r="V15" s="73">
        <f>IF(AND(OR(B4=1,B4=2,B4=3,B4=4,B4=11,B4=15),B8="SAF"),0,0)</f>
        <v>0</v>
      </c>
      <c r="W15" s="7">
        <f>IF(AND(OR(CBID="R08",CBID="U"),CAT="3B",W12&gt;=38990),1,0)</f>
        <v>0</v>
      </c>
      <c r="X15" s="86" t="s">
        <v>520</v>
      </c>
      <c r="Y15" s="9"/>
      <c r="Z15" s="21">
        <v>12</v>
      </c>
      <c r="AA15" s="177">
        <v>317</v>
      </c>
      <c r="AB15" s="177">
        <v>0.06</v>
      </c>
      <c r="AC15" s="177" t="s">
        <v>159</v>
      </c>
      <c r="AD15" s="7" t="s">
        <v>4</v>
      </c>
      <c r="AE15" s="7" t="s">
        <v>4</v>
      </c>
      <c r="AJ15" s="9" t="s">
        <v>39</v>
      </c>
      <c r="AO15" s="166"/>
      <c r="AP15" s="167"/>
      <c r="AQ15" s="167"/>
      <c r="AR15" s="167"/>
      <c r="AS15" s="167"/>
    </row>
    <row r="16" spans="1:45" ht="12.75">
      <c r="A16" s="9"/>
      <c r="B16" s="11"/>
      <c r="C16" s="10"/>
      <c r="D16" s="55" t="s">
        <v>364</v>
      </c>
      <c r="E16" s="56"/>
      <c r="F16" s="57" t="s">
        <v>365</v>
      </c>
      <c r="G16" s="9"/>
      <c r="H16" s="67"/>
      <c r="J16" s="9" t="s">
        <v>29</v>
      </c>
      <c r="K16" s="14">
        <f>ROUND(Salary_Rate+Reg_Days-IDL_Full_Days,2)</f>
        <v>3987</v>
      </c>
      <c r="L16" s="71"/>
      <c r="M16" s="14">
        <f>IF(OR(IDL_Full=0,SDI="NO"),0,(ROUND((Reg_Net_Grs+IDL_Full)*X2,2)))</f>
        <v>34</v>
      </c>
      <c r="N16" s="14" t="s">
        <v>390</v>
      </c>
      <c r="P16" s="74" t="s">
        <v>358</v>
      </c>
      <c r="R16" s="66">
        <v>38475</v>
      </c>
      <c r="S16" s="69">
        <v>38475</v>
      </c>
      <c r="T16" s="19" t="s">
        <v>284</v>
      </c>
      <c r="U16" s="75" t="s">
        <v>154</v>
      </c>
      <c r="V16" s="76">
        <f>VLOOKUP(B4,U17:V40,2)</f>
        <v>0</v>
      </c>
      <c r="W16" s="7" t="s">
        <v>547</v>
      </c>
      <c r="X16" s="84">
        <v>39021</v>
      </c>
      <c r="Y16" s="9"/>
      <c r="Z16" s="21">
        <v>13</v>
      </c>
      <c r="AA16" s="177">
        <v>0</v>
      </c>
      <c r="AB16" s="177">
        <v>0</v>
      </c>
      <c r="AC16" s="177" t="s">
        <v>159</v>
      </c>
      <c r="AD16" s="7" t="s">
        <v>4</v>
      </c>
      <c r="AE16" s="7" t="s">
        <v>4</v>
      </c>
      <c r="AF16" s="10" t="s">
        <v>4</v>
      </c>
      <c r="AG16" s="10" t="s">
        <v>38</v>
      </c>
      <c r="AH16" s="11"/>
      <c r="AI16" s="11"/>
      <c r="AJ16" s="9" t="s">
        <v>12</v>
      </c>
      <c r="AK16" s="9" t="s">
        <v>13</v>
      </c>
      <c r="AL16" s="9" t="s">
        <v>14</v>
      </c>
      <c r="AO16" s="166"/>
      <c r="AP16" s="166"/>
      <c r="AQ16" s="166"/>
      <c r="AR16" s="167"/>
      <c r="AS16" s="167"/>
    </row>
    <row r="17" spans="1:45" ht="12.75">
      <c r="A17" s="77" t="s">
        <v>179</v>
      </c>
      <c r="B17" s="78" t="s">
        <v>180</v>
      </c>
      <c r="C17" s="45" t="s">
        <v>181</v>
      </c>
      <c r="F17" s="41"/>
      <c r="G17" s="9"/>
      <c r="H17" s="67"/>
      <c r="J17" s="9" t="s">
        <v>161</v>
      </c>
      <c r="K17" s="44">
        <f>IF(SDI="Yes",SDIGRS*X2,0)</f>
        <v>44</v>
      </c>
      <c r="L17" s="79"/>
      <c r="M17" s="44" t="s">
        <v>313</v>
      </c>
      <c r="N17" s="80">
        <f>IF(ISBLANK(Time_Base),8,8/RIGHT(B6,3)*LEFT(B6,3))</f>
        <v>8</v>
      </c>
      <c r="O17" s="44"/>
      <c r="P17" s="28" t="s">
        <v>440</v>
      </c>
      <c r="Q17" s="44"/>
      <c r="R17" s="66">
        <v>38656</v>
      </c>
      <c r="S17" s="69">
        <v>38656</v>
      </c>
      <c r="T17" s="19" t="s">
        <v>353</v>
      </c>
      <c r="U17" s="75" t="s">
        <v>319</v>
      </c>
      <c r="V17" s="81">
        <v>0</v>
      </c>
      <c r="W17" s="7">
        <f>IF(AND(CAT="4A",$W$12=39021),1,0)</f>
        <v>0</v>
      </c>
      <c r="X17" s="86" t="s">
        <v>546</v>
      </c>
      <c r="Y17" s="20"/>
      <c r="Z17" s="21">
        <v>14</v>
      </c>
      <c r="AA17" s="177">
        <v>0</v>
      </c>
      <c r="AB17" s="177">
        <v>0</v>
      </c>
      <c r="AC17" s="177" t="s">
        <v>208</v>
      </c>
      <c r="AD17" s="7" t="s">
        <v>4</v>
      </c>
      <c r="AE17" s="7" t="s">
        <v>4</v>
      </c>
      <c r="AF17" s="9" t="s">
        <v>12</v>
      </c>
      <c r="AG17" s="9" t="s">
        <v>13</v>
      </c>
      <c r="AH17" s="9" t="s">
        <v>14</v>
      </c>
      <c r="AI17" s="9"/>
      <c r="AJ17" s="14">
        <v>0</v>
      </c>
      <c r="AK17" s="173">
        <v>0.01375</v>
      </c>
      <c r="AL17" s="14">
        <v>0</v>
      </c>
      <c r="AO17" s="168"/>
      <c r="AP17" s="169"/>
      <c r="AQ17" s="170"/>
      <c r="AR17" s="167"/>
      <c r="AS17" s="167"/>
    </row>
    <row r="18" spans="1:81" ht="12.75">
      <c r="A18" s="41" t="s">
        <v>182</v>
      </c>
      <c r="B18" s="83">
        <v>2</v>
      </c>
      <c r="C18" s="54"/>
      <c r="D18" s="84"/>
      <c r="E18" s="84"/>
      <c r="F18" s="84"/>
      <c r="G18" s="84"/>
      <c r="H18" s="85"/>
      <c r="I18" s="84"/>
      <c r="J18" s="86" t="s">
        <v>162</v>
      </c>
      <c r="K18" s="87">
        <f>Gross_Net</f>
        <v>4000</v>
      </c>
      <c r="L18" s="88"/>
      <c r="M18" s="69" t="s">
        <v>381</v>
      </c>
      <c r="N18" s="84">
        <f>Reg_Net_Grs+IDL_Full+IDL_2_3</f>
        <v>4000</v>
      </c>
      <c r="O18" s="69"/>
      <c r="P18" s="65" t="s">
        <v>393</v>
      </c>
      <c r="Q18" s="69"/>
      <c r="R18" s="69" t="str">
        <f>IF(LEN(Iss_Mon_Yr)=2,R22,R21)</f>
        <v>12/01/2010</v>
      </c>
      <c r="S18" s="69">
        <f>+S14</f>
        <v>38717</v>
      </c>
      <c r="T18" s="84"/>
      <c r="U18" s="89" t="s">
        <v>330</v>
      </c>
      <c r="V18" s="90">
        <v>0.01</v>
      </c>
      <c r="W18" s="84">
        <f>IF(AND(CAT="5C",$W$12=39021),1,0)</f>
        <v>0</v>
      </c>
      <c r="X18" s="84" t="s">
        <v>553</v>
      </c>
      <c r="Y18" s="84"/>
      <c r="Z18" s="174">
        <v>15</v>
      </c>
      <c r="AA18" s="178">
        <v>238</v>
      </c>
      <c r="AB18" s="178">
        <v>0.06</v>
      </c>
      <c r="AC18" s="178" t="s">
        <v>208</v>
      </c>
      <c r="AD18" s="84" t="s">
        <v>4</v>
      </c>
      <c r="AE18" s="84" t="s">
        <v>4</v>
      </c>
      <c r="AF18" s="84">
        <v>-999999</v>
      </c>
      <c r="AG18" s="84">
        <v>0</v>
      </c>
      <c r="AH18" s="84">
        <v>0</v>
      </c>
      <c r="AI18" s="84"/>
      <c r="AJ18" s="69">
        <v>7060</v>
      </c>
      <c r="AK18" s="84">
        <v>0.02475</v>
      </c>
      <c r="AL18" s="69">
        <v>97.08</v>
      </c>
      <c r="AM18" s="84"/>
      <c r="AN18" s="84"/>
      <c r="AO18" s="172"/>
      <c r="AP18" s="172"/>
      <c r="AQ18" s="172"/>
      <c r="AR18" s="172"/>
      <c r="AS18" s="172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</row>
    <row r="19" spans="1:81" ht="12.75">
      <c r="A19" s="41" t="s">
        <v>183</v>
      </c>
      <c r="B19" s="83">
        <v>15</v>
      </c>
      <c r="C19" s="54"/>
      <c r="D19" s="84"/>
      <c r="E19" s="84"/>
      <c r="F19" s="84"/>
      <c r="G19" s="84"/>
      <c r="H19" s="85"/>
      <c r="I19" s="84"/>
      <c r="J19" s="86"/>
      <c r="K19" s="87"/>
      <c r="L19" s="88"/>
      <c r="M19" s="69"/>
      <c r="N19" s="84">
        <f>ROUND((N18-S3)*EPMC_P,2)</f>
        <v>278.96</v>
      </c>
      <c r="O19" s="87"/>
      <c r="P19" s="160" t="s">
        <v>445</v>
      </c>
      <c r="Q19" s="161">
        <v>38717</v>
      </c>
      <c r="R19" s="69" t="str">
        <f>Pay_Period&amp;"/01/"&amp;F8</f>
        <v>11/01/10</v>
      </c>
      <c r="S19" s="69" t="s">
        <v>401</v>
      </c>
      <c r="T19" s="84"/>
      <c r="U19" s="89" t="s">
        <v>321</v>
      </c>
      <c r="V19" s="90">
        <v>0</v>
      </c>
      <c r="W19" s="84">
        <f>IF(AND(CAT="5D",$W$12=39021),1,0)</f>
        <v>0</v>
      </c>
      <c r="X19" s="84" t="s">
        <v>554</v>
      </c>
      <c r="Y19" s="84"/>
      <c r="Z19" s="174">
        <v>16</v>
      </c>
      <c r="AA19" s="178">
        <v>238</v>
      </c>
      <c r="AB19" s="178">
        <v>0.06</v>
      </c>
      <c r="AC19" s="178" t="s">
        <v>208</v>
      </c>
      <c r="AD19" s="84" t="s">
        <v>4</v>
      </c>
      <c r="AE19" s="84" t="s">
        <v>4</v>
      </c>
      <c r="AF19" s="84">
        <v>13750</v>
      </c>
      <c r="AG19" s="84">
        <v>0.1</v>
      </c>
      <c r="AH19" s="84">
        <v>0</v>
      </c>
      <c r="AI19" s="84"/>
      <c r="AJ19" s="69">
        <v>16739</v>
      </c>
      <c r="AK19" s="84">
        <v>0.04675</v>
      </c>
      <c r="AL19" s="69">
        <v>336.64</v>
      </c>
      <c r="AM19" s="84"/>
      <c r="AN19" s="84"/>
      <c r="AO19" s="172"/>
      <c r="AP19" s="172"/>
      <c r="AQ19" s="172"/>
      <c r="AR19" s="172"/>
      <c r="AS19" s="172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</row>
    <row r="20" spans="1:81" ht="12.75">
      <c r="A20" s="41" t="s">
        <v>184</v>
      </c>
      <c r="B20" s="83">
        <v>5</v>
      </c>
      <c r="C20" s="54"/>
      <c r="D20" s="84"/>
      <c r="E20" s="84"/>
      <c r="F20" s="84"/>
      <c r="G20" s="84"/>
      <c r="H20" s="85"/>
      <c r="I20" s="84"/>
      <c r="J20" s="86"/>
      <c r="K20" s="87"/>
      <c r="L20" s="88"/>
      <c r="M20" s="65" t="s">
        <v>437</v>
      </c>
      <c r="N20" s="69">
        <f>IF(AND(G3="h",ISBLANK(Red_Sal_Rate)),Salary_Rate,IF(ISBLANK(Red_Sal_Rate),Org_Sal_Rate,IF(ISBLANK(Time_Base),Red_Sal_Rate,ROUND(Red_Sal_Rate/RIGHT(Time_Base,3)*LEFT(Time_Base,3),2))))</f>
        <v>4000</v>
      </c>
      <c r="O20" s="87"/>
      <c r="P20" s="160" t="s">
        <v>446</v>
      </c>
      <c r="Q20" s="161">
        <v>38748</v>
      </c>
      <c r="R20" s="69" t="str">
        <f>Iss_Mon_Yr&amp;"/01/"&amp;F15</f>
        <v>12/01/10</v>
      </c>
      <c r="S20" s="69" t="s">
        <v>402</v>
      </c>
      <c r="T20" s="84"/>
      <c r="U20" s="89" t="s">
        <v>322</v>
      </c>
      <c r="V20" s="90">
        <v>0</v>
      </c>
      <c r="W20" s="84">
        <f>IF(AND(CAT="5E",$W$12=39021),1,0)</f>
        <v>0</v>
      </c>
      <c r="X20" s="86" t="s">
        <v>548</v>
      </c>
      <c r="Y20" s="84"/>
      <c r="Z20" s="174">
        <v>17</v>
      </c>
      <c r="AA20" s="178">
        <v>317</v>
      </c>
      <c r="AB20" s="178">
        <v>0.06</v>
      </c>
      <c r="AC20" s="178" t="s">
        <v>159</v>
      </c>
      <c r="AD20" s="84" t="s">
        <v>4</v>
      </c>
      <c r="AE20" s="84" t="s">
        <v>4</v>
      </c>
      <c r="AF20" s="84">
        <v>24500</v>
      </c>
      <c r="AG20" s="84">
        <v>0.15</v>
      </c>
      <c r="AH20" s="84">
        <v>1075</v>
      </c>
      <c r="AI20" s="84"/>
      <c r="AJ20" s="69">
        <v>26419</v>
      </c>
      <c r="AK20" s="84">
        <v>0.06875</v>
      </c>
      <c r="AL20" s="69">
        <v>789.18</v>
      </c>
      <c r="AM20" s="84"/>
      <c r="AN20" s="84"/>
      <c r="AO20" s="172"/>
      <c r="AP20" s="172"/>
      <c r="AQ20" s="172"/>
      <c r="AR20" s="172"/>
      <c r="AS20" s="172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</row>
    <row r="21" spans="1:45" ht="13.5" thickBot="1">
      <c r="A21" s="9"/>
      <c r="B21" s="92"/>
      <c r="C21" s="93"/>
      <c r="D21" s="11"/>
      <c r="E21" s="12"/>
      <c r="F21" s="12"/>
      <c r="G21" s="12"/>
      <c r="H21" s="94"/>
      <c r="J21" s="86" t="s">
        <v>559</v>
      </c>
      <c r="K21" s="87"/>
      <c r="L21" s="88"/>
      <c r="M21" s="14" t="s">
        <v>382</v>
      </c>
      <c r="N21" s="84">
        <f>Red_Sal_Rate2-D6</f>
        <v>4000</v>
      </c>
      <c r="O21" s="87"/>
      <c r="P21" s="147" t="s">
        <v>447</v>
      </c>
      <c r="Q21" s="161">
        <v>38776</v>
      </c>
      <c r="R21" s="69" t="str">
        <f>IF(AND(PayFreq="S",R19="5/01/2009",R20="5/01/2009"),"0"&amp;Iss_Mon_Yr&amp;"/15/20"&amp;F15,"0"&amp;Iss_Mon_Yr&amp;"/01/20"&amp;F15)</f>
        <v>012/01/2010</v>
      </c>
      <c r="S21" s="148" t="s">
        <v>438</v>
      </c>
      <c r="U21" s="75" t="s">
        <v>331</v>
      </c>
      <c r="V21" s="81">
        <v>0</v>
      </c>
      <c r="W21" s="7">
        <f>IF(AND(CAT="5F",$W$12=39021),1,0)</f>
        <v>0</v>
      </c>
      <c r="X21" s="86" t="s">
        <v>549</v>
      </c>
      <c r="Y21" s="20"/>
      <c r="Z21" s="21">
        <v>18</v>
      </c>
      <c r="AA21" s="177">
        <v>317</v>
      </c>
      <c r="AB21" s="177">
        <v>0.06</v>
      </c>
      <c r="AC21" s="177" t="s">
        <v>208</v>
      </c>
      <c r="AD21" s="7" t="s">
        <v>4</v>
      </c>
      <c r="AE21" s="7" t="s">
        <v>4</v>
      </c>
      <c r="AF21" s="20">
        <v>75750</v>
      </c>
      <c r="AG21" s="20">
        <v>0.25</v>
      </c>
      <c r="AH21" s="20">
        <v>8762.5</v>
      </c>
      <c r="AI21" s="20"/>
      <c r="AJ21" s="14">
        <v>36675</v>
      </c>
      <c r="AK21" s="173">
        <v>0.09075</v>
      </c>
      <c r="AL21" s="14">
        <v>1494.28</v>
      </c>
      <c r="AO21" s="168"/>
      <c r="AP21" s="169"/>
      <c r="AQ21" s="170"/>
      <c r="AR21" s="167"/>
      <c r="AS21" s="167"/>
    </row>
    <row r="22" spans="1:45" ht="14.25" thickBot="1" thickTop="1">
      <c r="A22" s="10"/>
      <c r="B22" s="97" t="s">
        <v>185</v>
      </c>
      <c r="C22" s="98" t="s">
        <v>186</v>
      </c>
      <c r="D22" s="99" t="s">
        <v>187</v>
      </c>
      <c r="E22" s="100"/>
      <c r="F22" s="101" t="s">
        <v>188</v>
      </c>
      <c r="G22" s="102"/>
      <c r="H22" s="103"/>
      <c r="J22" s="86"/>
      <c r="K22" s="87"/>
      <c r="L22" s="88"/>
      <c r="M22" s="14" t="s">
        <v>383</v>
      </c>
      <c r="N22" s="69">
        <f>IF(Salary_Per="H",N21*K9,IF(ISBLANK(Red_Sal_Rate),ROUND(((Q1-D6)/K6),5)*K9,ROUND((N21/K6),5)*K9))</f>
        <v>363.63632</v>
      </c>
      <c r="O22" s="87"/>
      <c r="P22" s="147" t="s">
        <v>448</v>
      </c>
      <c r="Q22" s="161">
        <v>38807</v>
      </c>
      <c r="R22" s="69" t="str">
        <f>D15&amp;"/01/20"&amp;F15</f>
        <v>12/01/2010</v>
      </c>
      <c r="S22" s="148" t="s">
        <v>439</v>
      </c>
      <c r="U22" s="75" t="s">
        <v>332</v>
      </c>
      <c r="V22" s="81">
        <v>0</v>
      </c>
      <c r="W22" s="7">
        <f>IF(AND(CAT="5J",$W$12=39021),1,0)</f>
        <v>0</v>
      </c>
      <c r="X22" s="86" t="s">
        <v>550</v>
      </c>
      <c r="Y22" s="20"/>
      <c r="Z22" s="21">
        <v>19</v>
      </c>
      <c r="AA22" s="177">
        <v>317</v>
      </c>
      <c r="AB22" s="177">
        <v>0.06</v>
      </c>
      <c r="AC22" s="177" t="s">
        <v>159</v>
      </c>
      <c r="AD22" s="7" t="s">
        <v>4</v>
      </c>
      <c r="AE22" s="7" t="s">
        <v>4</v>
      </c>
      <c r="AF22" s="20">
        <v>94050</v>
      </c>
      <c r="AG22" s="20">
        <v>0.27</v>
      </c>
      <c r="AH22" s="20">
        <v>13337.5</v>
      </c>
      <c r="AI22" s="20"/>
      <c r="AJ22" s="14">
        <v>46349</v>
      </c>
      <c r="AK22" s="173">
        <v>0.10505</v>
      </c>
      <c r="AL22" s="14">
        <v>2372.2</v>
      </c>
      <c r="AO22" s="168"/>
      <c r="AP22" s="169"/>
      <c r="AQ22" s="170"/>
      <c r="AR22" s="167"/>
      <c r="AS22" s="167"/>
    </row>
    <row r="23" spans="1:45" ht="13.5" thickTop="1">
      <c r="A23" s="104" t="s">
        <v>189</v>
      </c>
      <c r="B23" s="105">
        <f>Gross_Net</f>
        <v>4000</v>
      </c>
      <c r="C23" s="106">
        <f>Reg_Net_Grs</f>
        <v>363.64</v>
      </c>
      <c r="D23" s="107">
        <f>IDL_Grs</f>
        <v>2221.64</v>
      </c>
      <c r="E23" s="108"/>
      <c r="F23" s="106">
        <f>IDL_23_Grs</f>
        <v>606.06</v>
      </c>
      <c r="G23" s="102"/>
      <c r="H23" s="109"/>
      <c r="J23" s="165"/>
      <c r="K23" s="87"/>
      <c r="L23" s="88"/>
      <c r="M23" s="14" t="s">
        <v>384</v>
      </c>
      <c r="N23" s="84">
        <f>Org_Sal_Rate-D6</f>
        <v>4000</v>
      </c>
      <c r="O23" s="87"/>
      <c r="P23" s="147" t="s">
        <v>449</v>
      </c>
      <c r="Q23" s="161">
        <v>38837</v>
      </c>
      <c r="R23" s="69" t="str">
        <f>LEFT(Iss_Mon_Yr,2)</f>
        <v>12</v>
      </c>
      <c r="U23" s="75" t="s">
        <v>333</v>
      </c>
      <c r="V23" s="81">
        <v>0</v>
      </c>
      <c r="W23" s="7">
        <f>IF(AND(CAT="5K",$W$12=39021),1,0)</f>
        <v>0</v>
      </c>
      <c r="X23" s="86" t="s">
        <v>551</v>
      </c>
      <c r="Y23" s="20"/>
      <c r="Z23" s="21">
        <v>20</v>
      </c>
      <c r="AA23" s="177">
        <v>317</v>
      </c>
      <c r="AB23" s="177">
        <v>0.06</v>
      </c>
      <c r="AC23" s="177" t="s">
        <v>159</v>
      </c>
      <c r="AD23" s="7" t="s">
        <v>4</v>
      </c>
      <c r="AE23" s="7" t="s">
        <v>4</v>
      </c>
      <c r="AF23" s="20">
        <v>124050</v>
      </c>
      <c r="AG23" s="20">
        <v>0.25</v>
      </c>
      <c r="AH23" s="20">
        <v>21437.5</v>
      </c>
      <c r="AI23" s="20"/>
      <c r="AJ23" s="14">
        <v>1000000</v>
      </c>
      <c r="AK23" s="173">
        <v>0.11605</v>
      </c>
      <c r="AL23" s="14">
        <v>102553.24</v>
      </c>
      <c r="AO23" s="168"/>
      <c r="AP23" s="169"/>
      <c r="AQ23" s="170"/>
      <c r="AR23" s="167"/>
      <c r="AS23" s="167"/>
    </row>
    <row r="24" spans="1:45" ht="12.75">
      <c r="A24" s="110" t="s">
        <v>190</v>
      </c>
      <c r="B24" s="67">
        <f>EPMC</f>
        <v>278.96</v>
      </c>
      <c r="C24" s="111">
        <f>IF(N39=1,T27,Reg_EPMC)</f>
        <v>0</v>
      </c>
      <c r="D24" s="112">
        <f>M8</f>
        <v>206.23</v>
      </c>
      <c r="E24" s="112"/>
      <c r="F24" s="111">
        <f>M10</f>
        <v>72.73</v>
      </c>
      <c r="G24" s="102"/>
      <c r="H24" s="109"/>
      <c r="J24" s="165"/>
      <c r="K24" s="87"/>
      <c r="L24" s="88"/>
      <c r="M24" s="14" t="s">
        <v>396</v>
      </c>
      <c r="N24" s="84">
        <f>IF(Salary_Per="H",N23*K10,N23/K6*K10)</f>
        <v>2727.272727272727</v>
      </c>
      <c r="O24" s="87"/>
      <c r="P24" s="147" t="s">
        <v>450</v>
      </c>
      <c r="Q24" s="161">
        <v>38868</v>
      </c>
      <c r="R24" s="14">
        <f>LEN(Iss_Mon_Yr)</f>
        <v>2</v>
      </c>
      <c r="U24" s="75" t="s">
        <v>334</v>
      </c>
      <c r="V24" s="81">
        <v>0</v>
      </c>
      <c r="W24" s="7">
        <f>IF(AND(CAT="3A",$W$12=39021),1,0)</f>
        <v>0</v>
      </c>
      <c r="X24" s="84" t="s">
        <v>556</v>
      </c>
      <c r="Y24" s="20"/>
      <c r="Z24" s="21">
        <v>21</v>
      </c>
      <c r="AA24" s="177">
        <v>0</v>
      </c>
      <c r="AB24" s="177">
        <v>0</v>
      </c>
      <c r="AC24" s="177" t="s">
        <v>159</v>
      </c>
      <c r="AD24" s="7" t="s">
        <v>4</v>
      </c>
      <c r="AE24" s="7" t="s">
        <v>4</v>
      </c>
      <c r="AF24" s="20">
        <v>145050</v>
      </c>
      <c r="AG24" s="61">
        <v>0.28</v>
      </c>
      <c r="AH24" s="20">
        <v>26687.5</v>
      </c>
      <c r="AI24" s="20"/>
      <c r="AJ24" s="14">
        <v>9999999</v>
      </c>
      <c r="AK24" s="173">
        <v>0.11605</v>
      </c>
      <c r="AL24" s="14">
        <v>99999</v>
      </c>
      <c r="AO24" s="168"/>
      <c r="AP24" s="169"/>
      <c r="AQ24" s="170"/>
      <c r="AR24" s="167"/>
      <c r="AS24" s="167"/>
    </row>
    <row r="25" spans="1:45" ht="12.75">
      <c r="A25" s="110" t="s">
        <v>191</v>
      </c>
      <c r="B25" s="67">
        <f>OASDI</f>
        <v>248</v>
      </c>
      <c r="C25" s="113">
        <f>Reg_SS</f>
        <v>22.55</v>
      </c>
      <c r="D25" s="102"/>
      <c r="E25" s="109"/>
      <c r="F25" s="114"/>
      <c r="G25" s="102"/>
      <c r="H25" s="109"/>
      <c r="J25" s="86"/>
      <c r="K25" s="87"/>
      <c r="L25" s="88"/>
      <c r="M25" s="14" t="s">
        <v>397</v>
      </c>
      <c r="N25" s="84">
        <f>IF(Salary_Per="H",N23*K11,N23/K6*K11)</f>
        <v>909.090909090909</v>
      </c>
      <c r="O25" s="87"/>
      <c r="P25" s="147" t="s">
        <v>451</v>
      </c>
      <c r="Q25" s="161">
        <v>38898</v>
      </c>
      <c r="R25" s="69"/>
      <c r="U25" s="75" t="s">
        <v>335</v>
      </c>
      <c r="V25" s="81">
        <v>0</v>
      </c>
      <c r="W25" s="7">
        <f>IF(AND(CAT="3B",$W$12=39021),1,0)</f>
        <v>0</v>
      </c>
      <c r="X25" s="84" t="s">
        <v>557</v>
      </c>
      <c r="Y25" s="20"/>
      <c r="Z25" s="21">
        <v>22</v>
      </c>
      <c r="AA25" s="177">
        <v>0</v>
      </c>
      <c r="AB25" s="177">
        <v>0</v>
      </c>
      <c r="AC25" s="177" t="s">
        <v>159</v>
      </c>
      <c r="AD25" s="7" t="s">
        <v>4</v>
      </c>
      <c r="AE25" s="7" t="s">
        <v>4</v>
      </c>
      <c r="AF25" s="20">
        <v>217000</v>
      </c>
      <c r="AG25" s="20">
        <v>0.33</v>
      </c>
      <c r="AH25" s="20">
        <v>46833.5</v>
      </c>
      <c r="AI25" s="20"/>
      <c r="AJ25" s="14">
        <v>9999999</v>
      </c>
      <c r="AK25" s="173">
        <v>0.11605</v>
      </c>
      <c r="AL25" s="14">
        <v>99999</v>
      </c>
      <c r="AO25" s="168"/>
      <c r="AP25" s="169"/>
      <c r="AQ25" s="170"/>
      <c r="AR25" s="167"/>
      <c r="AS25" s="167"/>
    </row>
    <row r="26" spans="1:45" ht="12.75">
      <c r="A26" s="110" t="s">
        <v>192</v>
      </c>
      <c r="B26" s="67">
        <f>MED</f>
        <v>58</v>
      </c>
      <c r="C26" s="113">
        <f>Reg_Med</f>
        <v>5.27</v>
      </c>
      <c r="D26" s="102"/>
      <c r="E26" s="109"/>
      <c r="F26" s="114"/>
      <c r="G26" s="102"/>
      <c r="H26" s="109"/>
      <c r="J26" s="164"/>
      <c r="K26" s="87"/>
      <c r="L26" s="88"/>
      <c r="M26" s="157" t="s">
        <v>394</v>
      </c>
      <c r="N26" s="156"/>
      <c r="O26" s="87"/>
      <c r="P26" s="147" t="s">
        <v>452</v>
      </c>
      <c r="Q26" s="161">
        <v>38929</v>
      </c>
      <c r="R26" s="14" t="s">
        <v>320</v>
      </c>
      <c r="U26" s="75" t="s">
        <v>336</v>
      </c>
      <c r="V26" s="81">
        <v>0</v>
      </c>
      <c r="Z26" s="21">
        <v>23</v>
      </c>
      <c r="AA26" s="177">
        <v>317</v>
      </c>
      <c r="AB26" s="177">
        <v>0.06</v>
      </c>
      <c r="AC26" s="177" t="s">
        <v>159</v>
      </c>
      <c r="AD26" s="7" t="s">
        <v>4</v>
      </c>
      <c r="AE26" s="7" t="s">
        <v>4</v>
      </c>
      <c r="AF26" s="20">
        <v>381400</v>
      </c>
      <c r="AG26" s="20">
        <v>0.35</v>
      </c>
      <c r="AH26" s="20">
        <v>101085.5</v>
      </c>
      <c r="AI26" s="20"/>
      <c r="AJ26" s="14">
        <v>9999999</v>
      </c>
      <c r="AK26" s="173">
        <v>0.11605</v>
      </c>
      <c r="AL26" s="14">
        <v>99999</v>
      </c>
      <c r="AO26" s="168"/>
      <c r="AP26" s="169"/>
      <c r="AQ26" s="170"/>
      <c r="AR26" s="167"/>
      <c r="AS26" s="167"/>
    </row>
    <row r="27" spans="1:45" ht="12.75">
      <c r="A27" s="110" t="s">
        <v>193</v>
      </c>
      <c r="B27" s="67">
        <f>FTAX1</f>
        <v>341.49</v>
      </c>
      <c r="C27" s="113">
        <f>FTAX2</f>
        <v>0</v>
      </c>
      <c r="D27" s="102"/>
      <c r="E27" s="109"/>
      <c r="F27" s="114"/>
      <c r="G27" s="102"/>
      <c r="H27" s="109"/>
      <c r="J27" s="86"/>
      <c r="K27" s="87"/>
      <c r="L27" s="88"/>
      <c r="M27" s="157" t="s">
        <v>436</v>
      </c>
      <c r="N27" s="158">
        <f>Org_Sal_Rate-D6</f>
        <v>4000</v>
      </c>
      <c r="O27" s="87"/>
      <c r="P27" s="147" t="s">
        <v>453</v>
      </c>
      <c r="Q27" s="84">
        <v>38960</v>
      </c>
      <c r="R27" s="14" t="s">
        <v>319</v>
      </c>
      <c r="S27" s="14" t="s">
        <v>329</v>
      </c>
      <c r="T27" s="19">
        <f>IF(AND(Org_Sal_Rate=4000,ISBLANK(Red_Sal_Rate)),ROUND((Reg_Net_Grs-S3)*S4,2),Reg_EPMC)</f>
        <v>-11.95</v>
      </c>
      <c r="U27" s="75" t="s">
        <v>323</v>
      </c>
      <c r="V27" s="81">
        <v>0</v>
      </c>
      <c r="Z27" s="21">
        <v>24</v>
      </c>
      <c r="AA27" s="177">
        <v>513</v>
      </c>
      <c r="AB27" s="177">
        <v>0</v>
      </c>
      <c r="AC27" s="177" t="s">
        <v>209</v>
      </c>
      <c r="AD27" s="7" t="s">
        <v>4</v>
      </c>
      <c r="AE27" s="7" t="s">
        <v>4</v>
      </c>
      <c r="AJ27" s="14">
        <v>9999999</v>
      </c>
      <c r="AK27" s="173">
        <v>0.11605</v>
      </c>
      <c r="AL27" s="14">
        <v>99999</v>
      </c>
      <c r="AO27" s="168"/>
      <c r="AP27" s="169"/>
      <c r="AQ27" s="170"/>
      <c r="AR27" s="167"/>
      <c r="AS27" s="167"/>
    </row>
    <row r="28" spans="1:45" ht="12.75">
      <c r="A28" s="110" t="s">
        <v>194</v>
      </c>
      <c r="B28" s="67">
        <f>STAX1</f>
        <v>85.47</v>
      </c>
      <c r="C28" s="113">
        <f>STAX2</f>
        <v>0</v>
      </c>
      <c r="D28" s="102"/>
      <c r="E28" s="109"/>
      <c r="F28" s="114"/>
      <c r="G28" s="102"/>
      <c r="H28" s="109"/>
      <c r="J28" s="86"/>
      <c r="K28" s="87"/>
      <c r="L28" s="88"/>
      <c r="M28" s="157" t="s">
        <v>395</v>
      </c>
      <c r="N28" s="157">
        <f>IF(Salary_Per="H",N27*K9,(N27/K6)*K9)</f>
        <v>363.6363636363636</v>
      </c>
      <c r="O28" s="87"/>
      <c r="P28" s="147" t="s">
        <v>454</v>
      </c>
      <c r="Q28" s="161">
        <v>38990</v>
      </c>
      <c r="R28" s="14" t="s">
        <v>330</v>
      </c>
      <c r="S28" s="14" t="s">
        <v>165</v>
      </c>
      <c r="T28" s="19"/>
      <c r="U28" s="75" t="s">
        <v>337</v>
      </c>
      <c r="V28" s="81">
        <v>0</v>
      </c>
      <c r="Z28" s="21">
        <v>25</v>
      </c>
      <c r="AA28" s="177">
        <v>513</v>
      </c>
      <c r="AB28" s="177">
        <v>0</v>
      </c>
      <c r="AC28" s="177" t="s">
        <v>209</v>
      </c>
      <c r="AD28" s="7" t="s">
        <v>4</v>
      </c>
      <c r="AE28" s="7" t="s">
        <v>4</v>
      </c>
      <c r="AO28" s="167"/>
      <c r="AP28" s="167"/>
      <c r="AQ28" s="167"/>
      <c r="AR28" s="167"/>
      <c r="AS28" s="167"/>
    </row>
    <row r="29" spans="1:45" ht="12.75">
      <c r="A29" s="110" t="s">
        <v>163</v>
      </c>
      <c r="B29" s="67">
        <f>SDI1</f>
        <v>44</v>
      </c>
      <c r="C29" s="113">
        <f>Reg_SDI</f>
        <v>4.000039999999999</v>
      </c>
      <c r="D29" s="102"/>
      <c r="E29" s="109"/>
      <c r="F29" s="114"/>
      <c r="G29" s="102"/>
      <c r="H29" s="109"/>
      <c r="J29" s="86"/>
      <c r="K29" s="87"/>
      <c r="L29" s="88"/>
      <c r="M29" s="157" t="s">
        <v>398</v>
      </c>
      <c r="N29" s="157">
        <f>+N28+N24</f>
        <v>3090.9090909090905</v>
      </c>
      <c r="O29" s="87"/>
      <c r="P29" s="147" t="s">
        <v>455</v>
      </c>
      <c r="Q29" s="161">
        <v>39021</v>
      </c>
      <c r="R29" s="14" t="s">
        <v>321</v>
      </c>
      <c r="S29" s="14" t="s">
        <v>329</v>
      </c>
      <c r="T29" s="19"/>
      <c r="U29" s="75" t="s">
        <v>338</v>
      </c>
      <c r="V29" s="81">
        <v>0</v>
      </c>
      <c r="Z29" s="21">
        <v>30</v>
      </c>
      <c r="AA29" s="177">
        <v>317</v>
      </c>
      <c r="AB29" s="177">
        <v>0.06</v>
      </c>
      <c r="AC29" s="177" t="s">
        <v>208</v>
      </c>
      <c r="AD29" s="7" t="s">
        <v>4</v>
      </c>
      <c r="AE29" s="7" t="s">
        <v>4</v>
      </c>
      <c r="AJ29" s="9" t="s">
        <v>53</v>
      </c>
      <c r="AO29" s="166"/>
      <c r="AP29" s="167"/>
      <c r="AQ29" s="167"/>
      <c r="AR29" s="167"/>
      <c r="AS29" s="167"/>
    </row>
    <row r="30" spans="1:45" ht="13.5" thickBot="1">
      <c r="A30" s="110" t="s">
        <v>195</v>
      </c>
      <c r="B30" s="115">
        <f>ROUND(B23-(ROUND(SUM(B24:B29),2)),2)</f>
        <v>2944.08</v>
      </c>
      <c r="C30" s="115">
        <f>ROUND(C23-(SUM(C24:C29)),2)</f>
        <v>331.82</v>
      </c>
      <c r="D30" s="116">
        <f>ROUND(D23-D24,2)</f>
        <v>2015.41</v>
      </c>
      <c r="E30" s="116"/>
      <c r="F30" s="115">
        <f>ROUND(F23-F24,2)</f>
        <v>533.33</v>
      </c>
      <c r="G30" s="102"/>
      <c r="H30" s="109"/>
      <c r="J30" s="86"/>
      <c r="K30" s="87"/>
      <c r="L30" s="88"/>
      <c r="M30" s="14" t="s">
        <v>381</v>
      </c>
      <c r="N30" s="14">
        <f>Salary_Rate-D6</f>
        <v>4000</v>
      </c>
      <c r="O30" s="87"/>
      <c r="P30" s="147" t="s">
        <v>456</v>
      </c>
      <c r="Q30" s="161">
        <v>39051</v>
      </c>
      <c r="R30" s="14" t="s">
        <v>322</v>
      </c>
      <c r="S30" s="14" t="s">
        <v>329</v>
      </c>
      <c r="T30" s="19"/>
      <c r="U30" s="75" t="s">
        <v>324</v>
      </c>
      <c r="V30" s="81">
        <v>0</v>
      </c>
      <c r="Z30" s="21">
        <v>40</v>
      </c>
      <c r="AA30" s="177">
        <v>317</v>
      </c>
      <c r="AB30" s="177">
        <v>0.06</v>
      </c>
      <c r="AC30" s="177" t="s">
        <v>208</v>
      </c>
      <c r="AD30" s="7" t="s">
        <v>4</v>
      </c>
      <c r="AE30" s="7" t="s">
        <v>4</v>
      </c>
      <c r="AJ30" s="9" t="s">
        <v>12</v>
      </c>
      <c r="AK30" s="9" t="s">
        <v>13</v>
      </c>
      <c r="AL30" s="9" t="s">
        <v>14</v>
      </c>
      <c r="AO30" s="166"/>
      <c r="AP30" s="166"/>
      <c r="AQ30" s="166"/>
      <c r="AR30" s="167"/>
      <c r="AS30" s="167"/>
    </row>
    <row r="31" spans="1:45" ht="14.25" thickBot="1" thickTop="1">
      <c r="A31" s="110" t="s">
        <v>293</v>
      </c>
      <c r="B31" s="85">
        <f>Org_Hr_Rate</f>
        <v>22.72727</v>
      </c>
      <c r="C31" s="117"/>
      <c r="D31" s="102"/>
      <c r="E31" s="102"/>
      <c r="F31" s="118"/>
      <c r="G31" s="119"/>
      <c r="H31" s="109"/>
      <c r="J31" s="86"/>
      <c r="K31" s="87"/>
      <c r="L31" s="88"/>
      <c r="M31" s="157" t="s">
        <v>399</v>
      </c>
      <c r="N31" s="157">
        <f>ROUND((N29-S3)*EPMC_P,2)</f>
        <v>206.23</v>
      </c>
      <c r="O31" s="87"/>
      <c r="R31" s="14" t="s">
        <v>331</v>
      </c>
      <c r="S31" s="14" t="s">
        <v>165</v>
      </c>
      <c r="T31" s="20"/>
      <c r="U31" s="75" t="s">
        <v>325</v>
      </c>
      <c r="V31" s="81">
        <v>0</v>
      </c>
      <c r="Z31" s="21">
        <v>41</v>
      </c>
      <c r="AA31" s="177">
        <v>0</v>
      </c>
      <c r="AB31" s="177">
        <v>0</v>
      </c>
      <c r="AC31" s="177" t="s">
        <v>209</v>
      </c>
      <c r="AD31" s="7" t="s">
        <v>4</v>
      </c>
      <c r="AE31" s="7" t="s">
        <v>4</v>
      </c>
      <c r="AJ31" s="14">
        <v>0</v>
      </c>
      <c r="AK31" s="173">
        <v>0.01375</v>
      </c>
      <c r="AL31" s="14">
        <v>0</v>
      </c>
      <c r="AO31" s="168"/>
      <c r="AP31" s="169"/>
      <c r="AQ31" s="170"/>
      <c r="AR31" s="167"/>
      <c r="AS31" s="167"/>
    </row>
    <row r="32" spans="1:45" ht="14.25" thickBot="1" thickTop="1">
      <c r="A32" s="110" t="s">
        <v>287</v>
      </c>
      <c r="B32" s="67">
        <f>IF(ROUND(Full_Net-(SUM(C30:F30)),2)&lt;0,0,ROUND(Full_Net-(SUM(C30:F30)),2))</f>
        <v>63.52</v>
      </c>
      <c r="C32" s="120" t="s">
        <v>288</v>
      </c>
      <c r="D32" s="121">
        <f>Withhold_Factor</f>
        <v>0.6075</v>
      </c>
      <c r="E32" s="121"/>
      <c r="F32" s="122" t="s">
        <v>289</v>
      </c>
      <c r="G32" s="123">
        <f>ROUND(Supple_Gross_Net/Divided_By,2)</f>
        <v>104.56</v>
      </c>
      <c r="H32" s="124"/>
      <c r="J32" s="86"/>
      <c r="K32" s="87"/>
      <c r="L32" s="88"/>
      <c r="M32" s="157" t="s">
        <v>405</v>
      </c>
      <c r="N32" s="157">
        <f>IF(N28&gt;S3,ROUND(N24*EPMC_P,2)-0.01,IF(AND(ISBLANK(Red_Sal_Rate),N28&lt;S3,N24&gt;S3,PayFreq&lt;&gt;"S"),ROUND(((N28+N24)-S3)*EPMC_P,2),IF(AND(N28&lt;S3,N29&gt;S3,PayFreq&lt;&gt;"S"),ROUND((N29-S3)*EPMC_P,2),IF(PayFreq="s",N38,0))))</f>
        <v>206.23</v>
      </c>
      <c r="O32" s="87"/>
      <c r="P32" s="156"/>
      <c r="Q32" s="156"/>
      <c r="R32" s="14" t="s">
        <v>332</v>
      </c>
      <c r="S32" s="14" t="s">
        <v>165</v>
      </c>
      <c r="T32" s="20"/>
      <c r="U32" s="75" t="s">
        <v>339</v>
      </c>
      <c r="V32" s="81">
        <v>0</v>
      </c>
      <c r="Z32" s="21">
        <v>42</v>
      </c>
      <c r="AA32" s="177">
        <v>317</v>
      </c>
      <c r="AB32" s="177">
        <v>0.06</v>
      </c>
      <c r="AC32" s="177" t="s">
        <v>159</v>
      </c>
      <c r="AD32" s="7" t="s">
        <v>4</v>
      </c>
      <c r="AE32" s="7" t="s">
        <v>4</v>
      </c>
      <c r="AJ32" s="14">
        <v>14120</v>
      </c>
      <c r="AK32" s="173">
        <v>0.02475</v>
      </c>
      <c r="AL32" s="14">
        <v>194.15</v>
      </c>
      <c r="AO32" s="168"/>
      <c r="AP32" s="169"/>
      <c r="AQ32" s="170"/>
      <c r="AR32" s="167"/>
      <c r="AS32" s="167"/>
    </row>
    <row r="33" spans="1:45" ht="14.25" thickBot="1" thickTop="1">
      <c r="A33" s="125" t="s">
        <v>294</v>
      </c>
      <c r="B33" s="126">
        <f>S9</f>
        <v>104.559670781893</v>
      </c>
      <c r="C33" s="127"/>
      <c r="D33" s="102"/>
      <c r="E33" s="128"/>
      <c r="F33" s="129"/>
      <c r="G33" s="130"/>
      <c r="H33" s="109"/>
      <c r="J33" s="86"/>
      <c r="K33" s="87"/>
      <c r="L33" s="88"/>
      <c r="M33" s="14" t="s">
        <v>407</v>
      </c>
      <c r="N33" s="157">
        <f>ROUND(IF(Reg_Net_Grs=0,0,IF(AND(ISBLANK(Red_Sal_Rate),LEFT(Ret_SM_Exl_Apply,1)="Y",N28&gt;S3),(N28-S3)*EPMC_P,IF(AND(ISBLANK(Red_Sal_Rate),LEFT(Ret_SM_Exl_Apply,1)="N"),N28*EPMC_P,IF(AND(LEFT(Ret_SM_Exl_Apply,1)="Y",Red_Sal_Rate&gt;0,N22&gt;S3),(N22-S3)*EPMC_P,IF(LEFT(Ret_SM_Exl_Apply,1)="N",N22*EPMC_P,0))))),2)</f>
        <v>0</v>
      </c>
      <c r="O33" s="87"/>
      <c r="P33" s="156"/>
      <c r="Q33" s="156">
        <f>+Q28</f>
        <v>38990</v>
      </c>
      <c r="R33" s="14" t="s">
        <v>333</v>
      </c>
      <c r="S33" s="14" t="s">
        <v>165</v>
      </c>
      <c r="T33" s="20"/>
      <c r="U33" s="75" t="s">
        <v>328</v>
      </c>
      <c r="V33" s="81">
        <v>0</v>
      </c>
      <c r="Z33" s="21">
        <v>43</v>
      </c>
      <c r="AA33" s="177">
        <v>513</v>
      </c>
      <c r="AB33" s="177">
        <v>0.05</v>
      </c>
      <c r="AC33" s="177" t="s">
        <v>209</v>
      </c>
      <c r="AD33" s="7" t="s">
        <v>4</v>
      </c>
      <c r="AE33" s="7" t="s">
        <v>4</v>
      </c>
      <c r="AJ33" s="14">
        <v>33478</v>
      </c>
      <c r="AK33" s="173">
        <v>0.04675</v>
      </c>
      <c r="AL33" s="14">
        <v>673.26</v>
      </c>
      <c r="AO33" s="168"/>
      <c r="AP33" s="169"/>
      <c r="AQ33" s="170"/>
      <c r="AR33" s="167"/>
      <c r="AS33" s="167"/>
    </row>
    <row r="34" spans="1:45" ht="14.25" thickBot="1" thickTop="1">
      <c r="A34" s="131" t="s">
        <v>290</v>
      </c>
      <c r="B34" s="132"/>
      <c r="C34" s="133"/>
      <c r="D34" s="134">
        <f>S10</f>
        <v>5</v>
      </c>
      <c r="E34" s="135"/>
      <c r="F34" s="102"/>
      <c r="G34" s="102"/>
      <c r="H34" s="109"/>
      <c r="J34" s="86"/>
      <c r="K34" s="87"/>
      <c r="L34" s="88"/>
      <c r="M34" s="157" t="s">
        <v>406</v>
      </c>
      <c r="N34" s="157">
        <f>ROUND(IF(AND(Reg_EPMC=0,N24&gt;S3),(N24+N7)*EPMC_P,IF(Reg_EPMC&gt;0,N24*EPMC_P,IF(AND(Reg_Net_Grs&gt;0,Reg_EPMC=0,IDL_Full&gt;N35,ISBLANK(D6)),(IDL_Full+N7)*EPMC_P,IF(AND(Reg_Net_Grs&gt;0,Reg_EPMC=0,IDL_Full&gt;N35,D6&gt;0),(N24+N7)*EPMC_P,0)))),2)</f>
        <v>206.23</v>
      </c>
      <c r="O34" s="87"/>
      <c r="P34" s="156"/>
      <c r="Q34" s="156">
        <f>+Q27</f>
        <v>38960</v>
      </c>
      <c r="R34" s="14" t="s">
        <v>334</v>
      </c>
      <c r="S34" s="14" t="s">
        <v>165</v>
      </c>
      <c r="T34" s="20"/>
      <c r="U34" s="75" t="s">
        <v>340</v>
      </c>
      <c r="V34" s="81">
        <v>0</v>
      </c>
      <c r="Z34" s="21">
        <v>44</v>
      </c>
      <c r="AA34" s="177">
        <v>0</v>
      </c>
      <c r="AB34" s="177">
        <v>0</v>
      </c>
      <c r="AC34" s="177" t="s">
        <v>209</v>
      </c>
      <c r="AD34" s="7" t="s">
        <v>4</v>
      </c>
      <c r="AE34" s="7" t="s">
        <v>4</v>
      </c>
      <c r="AJ34" s="14">
        <v>52838</v>
      </c>
      <c r="AK34" s="173">
        <v>0.06875</v>
      </c>
      <c r="AL34" s="14">
        <v>1578.34</v>
      </c>
      <c r="AO34" s="168"/>
      <c r="AP34" s="169"/>
      <c r="AQ34" s="170"/>
      <c r="AR34" s="167"/>
      <c r="AS34" s="167"/>
    </row>
    <row r="35" spans="1:45" ht="14.25" thickBot="1" thickTop="1">
      <c r="A35" s="136" t="s">
        <v>291</v>
      </c>
      <c r="B35" s="137">
        <f>S11</f>
        <v>0</v>
      </c>
      <c r="C35" s="138" t="s">
        <v>292</v>
      </c>
      <c r="D35" s="139">
        <f>S12</f>
        <v>5</v>
      </c>
      <c r="E35" s="140"/>
      <c r="F35" s="141"/>
      <c r="G35" s="142"/>
      <c r="H35" s="143"/>
      <c r="J35" s="86"/>
      <c r="K35" s="87"/>
      <c r="L35" s="88"/>
      <c r="M35" s="157" t="s">
        <v>412</v>
      </c>
      <c r="N35" s="162">
        <f>-N7</f>
        <v>149.36368</v>
      </c>
      <c r="O35" s="87"/>
      <c r="P35" s="156"/>
      <c r="Q35" s="156"/>
      <c r="R35" s="14" t="s">
        <v>335</v>
      </c>
      <c r="S35" s="14" t="s">
        <v>165</v>
      </c>
      <c r="T35" s="20"/>
      <c r="U35" s="75" t="s">
        <v>341</v>
      </c>
      <c r="V35" s="81">
        <v>0</v>
      </c>
      <c r="Z35" s="21">
        <v>45</v>
      </c>
      <c r="AA35" s="177">
        <v>513</v>
      </c>
      <c r="AB35" s="177">
        <v>0.05</v>
      </c>
      <c r="AC35" s="177" t="s">
        <v>209</v>
      </c>
      <c r="AD35" s="7" t="s">
        <v>4</v>
      </c>
      <c r="AE35" s="7" t="s">
        <v>4</v>
      </c>
      <c r="AJ35" s="14">
        <v>73350</v>
      </c>
      <c r="AK35" s="173">
        <v>0.09075</v>
      </c>
      <c r="AL35" s="14">
        <v>2988.54</v>
      </c>
      <c r="AO35" s="168"/>
      <c r="AP35" s="169"/>
      <c r="AQ35" s="170"/>
      <c r="AR35" s="167"/>
      <c r="AS35" s="167"/>
    </row>
    <row r="36" spans="1:45" ht="13.5" thickTop="1">
      <c r="A36" s="144"/>
      <c r="J36" s="86"/>
      <c r="K36" s="87"/>
      <c r="L36" s="88"/>
      <c r="M36" s="157" t="s">
        <v>424</v>
      </c>
      <c r="N36" s="157">
        <f>ROUND(IF(LEFT(Ret_SM_Exl_Apply,1)="n",N25*EPMC_P,0),2)</f>
        <v>0</v>
      </c>
      <c r="O36" s="87"/>
      <c r="P36" s="156"/>
      <c r="Q36" s="156"/>
      <c r="R36" s="14" t="s">
        <v>336</v>
      </c>
      <c r="S36" s="14" t="s">
        <v>165</v>
      </c>
      <c r="T36" s="20"/>
      <c r="U36" s="75" t="s">
        <v>326</v>
      </c>
      <c r="V36" s="81">
        <v>0</v>
      </c>
      <c r="Z36" s="21">
        <v>46</v>
      </c>
      <c r="AA36" s="177">
        <v>317</v>
      </c>
      <c r="AB36" s="177">
        <v>0.06</v>
      </c>
      <c r="AC36" s="177" t="s">
        <v>208</v>
      </c>
      <c r="AD36" s="7" t="s">
        <v>4</v>
      </c>
      <c r="AE36" s="7" t="s">
        <v>4</v>
      </c>
      <c r="AJ36" s="14">
        <v>92698</v>
      </c>
      <c r="AK36" s="173">
        <v>0.10505</v>
      </c>
      <c r="AL36" s="14">
        <v>4744.37</v>
      </c>
      <c r="AO36" s="168"/>
      <c r="AP36" s="169"/>
      <c r="AQ36" s="170"/>
      <c r="AR36" s="167"/>
      <c r="AS36" s="167"/>
    </row>
    <row r="37" spans="1:45" ht="12.75">
      <c r="A37" s="144"/>
      <c r="J37" s="86"/>
      <c r="K37" s="87"/>
      <c r="L37" s="88"/>
      <c r="M37" s="157" t="s">
        <v>425</v>
      </c>
      <c r="N37" s="157">
        <f>ROUND(IF(AND(Reg_EPMC=0,M8=0,ISBLANK(Red_Sal_Rate)),((N25+N22+N24)-S3)*EPMC_P,IF(AND(Reg_EPMC&gt;0,M8&gt;0),N25*EPMC_P,IF(AND(Reg_EPMC&gt;0,M8=0),N25*EPMC_P,IF(AND(Reg_EPMC=0,M8&gt;0),N25*EPMC_P,IF(AND(Red_Sal_Rate&gt;0,Reg_EPMC=0,M8=0),(N25+N2)*EPMC_P,(N25-S3)*EPMC_P))))),2)</f>
        <v>72.73</v>
      </c>
      <c r="O37" s="87"/>
      <c r="P37" s="156"/>
      <c r="Q37" s="156"/>
      <c r="R37" s="14" t="s">
        <v>323</v>
      </c>
      <c r="S37" s="14" t="s">
        <v>329</v>
      </c>
      <c r="T37" s="20"/>
      <c r="U37" s="75" t="s">
        <v>327</v>
      </c>
      <c r="V37" s="81">
        <v>0</v>
      </c>
      <c r="Z37" s="21">
        <v>47</v>
      </c>
      <c r="AA37" s="177">
        <v>0</v>
      </c>
      <c r="AB37" s="177">
        <v>0</v>
      </c>
      <c r="AC37" s="177" t="s">
        <v>209</v>
      </c>
      <c r="AD37" s="7" t="s">
        <v>4</v>
      </c>
      <c r="AE37" s="7" t="s">
        <v>4</v>
      </c>
      <c r="AJ37" s="14">
        <v>1000000</v>
      </c>
      <c r="AK37" s="173">
        <v>0.11605</v>
      </c>
      <c r="AL37" s="14">
        <v>100056.45</v>
      </c>
      <c r="AO37" s="168"/>
      <c r="AP37" s="169"/>
      <c r="AQ37" s="170"/>
      <c r="AR37" s="167"/>
      <c r="AS37" s="167"/>
    </row>
    <row r="38" spans="1:45" ht="12.75">
      <c r="A38" s="144"/>
      <c r="J38" s="86"/>
      <c r="K38" s="87"/>
      <c r="L38" s="88"/>
      <c r="M38" s="157" t="s">
        <v>472</v>
      </c>
      <c r="N38" s="157">
        <f>IF(LEFT(Ret_SM_Exl_Apply,1)="N",N24*EPMC_P,IF(AND(N24&gt;S3,LEFT(Ret_SM_Exl_Apply,1)="Y"),(N24-S3)*EPMC_P,0))</f>
        <v>0</v>
      </c>
      <c r="O38" s="87"/>
      <c r="P38" s="156"/>
      <c r="Q38" s="156"/>
      <c r="R38" s="14" t="s">
        <v>337</v>
      </c>
      <c r="S38" s="14" t="s">
        <v>165</v>
      </c>
      <c r="T38" s="20"/>
      <c r="U38" s="75" t="s">
        <v>156</v>
      </c>
      <c r="V38" s="81">
        <v>0</v>
      </c>
      <c r="Z38" s="21">
        <v>48</v>
      </c>
      <c r="AA38" s="177">
        <v>317</v>
      </c>
      <c r="AB38" s="177">
        <v>0.06</v>
      </c>
      <c r="AC38" s="177" t="s">
        <v>159</v>
      </c>
      <c r="AD38" s="7" t="s">
        <v>4</v>
      </c>
      <c r="AE38" s="7" t="s">
        <v>4</v>
      </c>
      <c r="AJ38" s="14">
        <v>9999999</v>
      </c>
      <c r="AK38" s="173">
        <v>0.11605</v>
      </c>
      <c r="AL38" s="14">
        <v>99999</v>
      </c>
      <c r="AO38" s="168"/>
      <c r="AP38" s="169"/>
      <c r="AQ38" s="170"/>
      <c r="AR38" s="167"/>
      <c r="AS38" s="167"/>
    </row>
    <row r="39" spans="3:45" ht="12.75">
      <c r="C39" s="8" t="s">
        <v>51</v>
      </c>
      <c r="J39" s="86"/>
      <c r="K39" s="87"/>
      <c r="L39" s="88"/>
      <c r="M39" s="157" t="s">
        <v>442</v>
      </c>
      <c r="N39" s="157">
        <v>0</v>
      </c>
      <c r="O39" s="87"/>
      <c r="P39" s="156"/>
      <c r="Q39" s="156"/>
      <c r="R39" s="14" t="s">
        <v>338</v>
      </c>
      <c r="S39" s="14" t="s">
        <v>165</v>
      </c>
      <c r="T39" s="20"/>
      <c r="U39" s="75" t="s">
        <v>157</v>
      </c>
      <c r="V39" s="81">
        <v>0</v>
      </c>
      <c r="Z39" s="21">
        <v>49</v>
      </c>
      <c r="AA39" s="177">
        <v>513</v>
      </c>
      <c r="AB39" s="177">
        <v>0.05</v>
      </c>
      <c r="AC39" s="177" t="s">
        <v>209</v>
      </c>
      <c r="AD39" s="7" t="s">
        <v>4</v>
      </c>
      <c r="AE39" s="7" t="s">
        <v>4</v>
      </c>
      <c r="AJ39" s="14">
        <v>9999999</v>
      </c>
      <c r="AK39" s="173">
        <v>0.11605</v>
      </c>
      <c r="AL39" s="14">
        <v>99999</v>
      </c>
      <c r="AO39" s="168"/>
      <c r="AP39" s="169"/>
      <c r="AQ39" s="170"/>
      <c r="AR39" s="167"/>
      <c r="AS39" s="167"/>
    </row>
    <row r="40" spans="10:45" ht="12.75">
      <c r="J40" s="86"/>
      <c r="K40" s="87"/>
      <c r="L40" s="88"/>
      <c r="M40" s="157"/>
      <c r="N40" s="157"/>
      <c r="O40" s="87"/>
      <c r="P40" s="156"/>
      <c r="Q40" s="156"/>
      <c r="R40" s="14" t="s">
        <v>324</v>
      </c>
      <c r="S40" s="14" t="s">
        <v>329</v>
      </c>
      <c r="T40" s="20"/>
      <c r="U40" s="145" t="s">
        <v>155</v>
      </c>
      <c r="V40" s="81">
        <v>0</v>
      </c>
      <c r="Z40" s="21">
        <v>51</v>
      </c>
      <c r="AA40" s="177">
        <v>238</v>
      </c>
      <c r="AB40" s="177">
        <v>0</v>
      </c>
      <c r="AC40" s="177" t="s">
        <v>208</v>
      </c>
      <c r="AD40" s="7" t="s">
        <v>4</v>
      </c>
      <c r="AE40" s="7" t="s">
        <v>4</v>
      </c>
      <c r="AJ40" s="14">
        <v>9999999</v>
      </c>
      <c r="AK40" s="173">
        <v>0.11605</v>
      </c>
      <c r="AL40" s="14">
        <v>99999</v>
      </c>
      <c r="AO40" s="168"/>
      <c r="AP40" s="169"/>
      <c r="AQ40" s="170"/>
      <c r="AR40" s="167"/>
      <c r="AS40" s="167"/>
    </row>
    <row r="41" spans="1:45" ht="15">
      <c r="A41" s="2" t="s">
        <v>408</v>
      </c>
      <c r="J41" s="86"/>
      <c r="K41" s="87"/>
      <c r="L41" s="88"/>
      <c r="M41" s="157"/>
      <c r="N41" s="157"/>
      <c r="O41" s="87"/>
      <c r="P41" s="156"/>
      <c r="Q41" s="156"/>
      <c r="R41" s="14" t="s">
        <v>325</v>
      </c>
      <c r="S41" s="14" t="s">
        <v>329</v>
      </c>
      <c r="T41" s="20"/>
      <c r="U41" s="47"/>
      <c r="V41" s="146"/>
      <c r="Z41" s="21">
        <v>52</v>
      </c>
      <c r="AA41" s="177">
        <v>238</v>
      </c>
      <c r="AB41" s="177">
        <v>0</v>
      </c>
      <c r="AC41" s="177" t="s">
        <v>159</v>
      </c>
      <c r="AD41" s="7" t="s">
        <v>4</v>
      </c>
      <c r="AE41" s="7" t="s">
        <v>4</v>
      </c>
      <c r="AJ41" s="14">
        <v>9999999</v>
      </c>
      <c r="AK41" s="173">
        <v>0.11605</v>
      </c>
      <c r="AL41" s="14">
        <v>99999</v>
      </c>
      <c r="AO41" s="168"/>
      <c r="AP41" s="169"/>
      <c r="AQ41" s="170"/>
      <c r="AR41" s="167"/>
      <c r="AS41" s="167"/>
    </row>
    <row r="42" spans="1:45" ht="15">
      <c r="A42" s="2" t="s">
        <v>426</v>
      </c>
      <c r="J42" s="86"/>
      <c r="K42" s="87"/>
      <c r="L42" s="88"/>
      <c r="M42" s="157"/>
      <c r="N42" s="157"/>
      <c r="O42" s="87"/>
      <c r="P42" s="156"/>
      <c r="Q42" s="156"/>
      <c r="R42" s="14" t="s">
        <v>339</v>
      </c>
      <c r="S42" s="14" t="s">
        <v>165</v>
      </c>
      <c r="V42" s="146"/>
      <c r="Z42" s="21">
        <v>53</v>
      </c>
      <c r="AA42" s="177">
        <v>238</v>
      </c>
      <c r="AB42" s="177">
        <v>0.08</v>
      </c>
      <c r="AC42" s="177" t="s">
        <v>208</v>
      </c>
      <c r="AD42" s="7" t="s">
        <v>4</v>
      </c>
      <c r="AE42" s="7" t="s">
        <v>4</v>
      </c>
      <c r="AO42" s="167"/>
      <c r="AP42" s="167"/>
      <c r="AQ42" s="167"/>
      <c r="AR42" s="167"/>
      <c r="AS42" s="167"/>
    </row>
    <row r="43" spans="1:45" ht="15">
      <c r="A43" s="2" t="s">
        <v>373</v>
      </c>
      <c r="C43" s="9"/>
      <c r="J43" s="86"/>
      <c r="K43" s="87"/>
      <c r="L43" s="88"/>
      <c r="M43" s="157"/>
      <c r="N43" s="157"/>
      <c r="O43" s="87"/>
      <c r="P43" s="156"/>
      <c r="Q43" s="156"/>
      <c r="R43" s="14" t="s">
        <v>328</v>
      </c>
      <c r="S43" s="14" t="s">
        <v>329</v>
      </c>
      <c r="V43" s="146"/>
      <c r="Z43" s="21">
        <v>54</v>
      </c>
      <c r="AA43" s="177">
        <v>238</v>
      </c>
      <c r="AB43" s="177">
        <v>0.08</v>
      </c>
      <c r="AC43" s="177" t="s">
        <v>159</v>
      </c>
      <c r="AD43" s="7" t="s">
        <v>4</v>
      </c>
      <c r="AE43" s="7" t="s">
        <v>4</v>
      </c>
      <c r="AJ43" s="9" t="s">
        <v>65</v>
      </c>
      <c r="AO43" s="166"/>
      <c r="AP43" s="167"/>
      <c r="AQ43" s="167"/>
      <c r="AR43" s="167"/>
      <c r="AS43" s="167"/>
    </row>
    <row r="44" spans="1:45" ht="15">
      <c r="A44" s="2" t="s">
        <v>374</v>
      </c>
      <c r="C44" s="9"/>
      <c r="J44" s="86"/>
      <c r="K44" s="87"/>
      <c r="L44" s="88"/>
      <c r="M44" s="157"/>
      <c r="N44" s="157"/>
      <c r="O44" s="87"/>
      <c r="P44" s="156"/>
      <c r="Q44" s="156"/>
      <c r="R44" s="14" t="s">
        <v>340</v>
      </c>
      <c r="S44" s="14" t="s">
        <v>165</v>
      </c>
      <c r="V44" s="146"/>
      <c r="Z44" s="21">
        <v>55</v>
      </c>
      <c r="AA44" s="177">
        <v>863</v>
      </c>
      <c r="AB44" s="177">
        <v>0.08</v>
      </c>
      <c r="AC44" s="177" t="s">
        <v>208</v>
      </c>
      <c r="AD44" s="7" t="s">
        <v>4</v>
      </c>
      <c r="AE44" s="7" t="s">
        <v>4</v>
      </c>
      <c r="AJ44" s="9" t="s">
        <v>12</v>
      </c>
      <c r="AK44" s="9" t="s">
        <v>13</v>
      </c>
      <c r="AL44" s="9" t="s">
        <v>14</v>
      </c>
      <c r="AO44" s="166"/>
      <c r="AP44" s="166"/>
      <c r="AQ44" s="166"/>
      <c r="AR44" s="167"/>
      <c r="AS44" s="167"/>
    </row>
    <row r="45" spans="1:45" ht="15">
      <c r="A45" s="2"/>
      <c r="J45" s="86"/>
      <c r="K45" s="87"/>
      <c r="L45" s="88"/>
      <c r="M45" s="157"/>
      <c r="N45" s="157"/>
      <c r="O45" s="87"/>
      <c r="P45" s="156"/>
      <c r="Q45" s="156"/>
      <c r="R45" s="14" t="s">
        <v>341</v>
      </c>
      <c r="S45" s="14" t="s">
        <v>165</v>
      </c>
      <c r="V45" s="146"/>
      <c r="Z45" s="21">
        <v>56</v>
      </c>
      <c r="AA45" s="177">
        <v>863</v>
      </c>
      <c r="AB45" s="177">
        <v>0.08</v>
      </c>
      <c r="AC45" s="177" t="s">
        <v>159</v>
      </c>
      <c r="AD45" s="7" t="s">
        <v>4</v>
      </c>
      <c r="AE45" s="7" t="s">
        <v>4</v>
      </c>
      <c r="AJ45" s="14">
        <v>0</v>
      </c>
      <c r="AK45" s="173">
        <v>0.01375</v>
      </c>
      <c r="AL45" s="14">
        <v>0</v>
      </c>
      <c r="AO45" s="168"/>
      <c r="AP45" s="169"/>
      <c r="AQ45" s="170"/>
      <c r="AR45" s="167"/>
      <c r="AS45" s="167"/>
    </row>
    <row r="46" spans="1:45" ht="15">
      <c r="A46" s="6" t="s">
        <v>61</v>
      </c>
      <c r="J46" s="86"/>
      <c r="K46" s="87"/>
      <c r="L46" s="88"/>
      <c r="M46" s="157"/>
      <c r="N46" s="157"/>
      <c r="O46" s="87"/>
      <c r="P46" s="156"/>
      <c r="Q46" s="156"/>
      <c r="R46" s="14" t="s">
        <v>326</v>
      </c>
      <c r="S46" s="14" t="s">
        <v>329</v>
      </c>
      <c r="V46" s="146"/>
      <c r="Z46" s="21">
        <v>57</v>
      </c>
      <c r="AA46" s="177">
        <v>513</v>
      </c>
      <c r="AB46" s="177">
        <v>0.08</v>
      </c>
      <c r="AC46" s="177" t="s">
        <v>208</v>
      </c>
      <c r="AD46" s="7" t="s">
        <v>4</v>
      </c>
      <c r="AE46" s="7" t="s">
        <v>4</v>
      </c>
      <c r="AJ46" s="14">
        <v>14130</v>
      </c>
      <c r="AK46" s="173">
        <v>0.02475</v>
      </c>
      <c r="AL46" s="14">
        <v>194.29</v>
      </c>
      <c r="AO46" s="168"/>
      <c r="AP46" s="169"/>
      <c r="AQ46" s="170"/>
      <c r="AR46" s="167"/>
      <c r="AS46" s="167"/>
    </row>
    <row r="47" spans="1:45" ht="15">
      <c r="A47" s="2"/>
      <c r="J47" s="183" t="s">
        <v>457</v>
      </c>
      <c r="K47" s="183"/>
      <c r="L47" s="88"/>
      <c r="M47" s="183"/>
      <c r="N47" s="183"/>
      <c r="O47" s="87"/>
      <c r="R47" s="14" t="s">
        <v>327</v>
      </c>
      <c r="S47" s="14" t="s">
        <v>329</v>
      </c>
      <c r="V47" s="146"/>
      <c r="Z47" s="21">
        <v>58</v>
      </c>
      <c r="AA47" s="177">
        <v>513</v>
      </c>
      <c r="AB47" s="177">
        <v>0.08</v>
      </c>
      <c r="AC47" s="177" t="s">
        <v>159</v>
      </c>
      <c r="AD47" s="7" t="s">
        <v>4</v>
      </c>
      <c r="AE47" s="7" t="s">
        <v>4</v>
      </c>
      <c r="AJ47" s="14">
        <v>33479</v>
      </c>
      <c r="AK47" s="173">
        <v>0.04675</v>
      </c>
      <c r="AL47" s="14">
        <v>673.18</v>
      </c>
      <c r="AO47" s="168"/>
      <c r="AP47" s="169"/>
      <c r="AQ47" s="170"/>
      <c r="AR47" s="167"/>
      <c r="AS47" s="167"/>
    </row>
    <row r="48" spans="1:45" ht="15">
      <c r="A48" s="152" t="s">
        <v>413</v>
      </c>
      <c r="J48" s="91" t="s">
        <v>31</v>
      </c>
      <c r="K48" s="69">
        <f>ROUND(Gross_Net-EPMC,2)</f>
        <v>3721.04</v>
      </c>
      <c r="L48" s="69" t="s">
        <v>308</v>
      </c>
      <c r="N48" s="69"/>
      <c r="O48" s="69"/>
      <c r="V48" s="146"/>
      <c r="W48" s="19"/>
      <c r="Z48" s="21">
        <v>61</v>
      </c>
      <c r="AA48" s="177">
        <v>863</v>
      </c>
      <c r="AB48" s="177">
        <v>0.04</v>
      </c>
      <c r="AC48" s="177" t="s">
        <v>159</v>
      </c>
      <c r="AD48" s="7" t="s">
        <v>4</v>
      </c>
      <c r="AE48" s="7" t="s">
        <v>4</v>
      </c>
      <c r="AJ48" s="14">
        <v>43157</v>
      </c>
      <c r="AK48" s="173">
        <v>0.06875</v>
      </c>
      <c r="AL48" s="14">
        <v>1125.63</v>
      </c>
      <c r="AO48" s="168"/>
      <c r="AP48" s="169"/>
      <c r="AQ48" s="170"/>
      <c r="AR48" s="167"/>
      <c r="AS48" s="167"/>
    </row>
    <row r="49" spans="1:45" ht="15">
      <c r="A49" s="3" t="s">
        <v>414</v>
      </c>
      <c r="J49" s="91" t="s">
        <v>32</v>
      </c>
      <c r="K49" s="69">
        <f>(Reg_Net_Grs-Reg_EPMC)</f>
        <v>363.64</v>
      </c>
      <c r="L49" s="69" t="s">
        <v>309</v>
      </c>
      <c r="N49" s="69"/>
      <c r="O49" s="69"/>
      <c r="S49" s="14" t="s">
        <v>295</v>
      </c>
      <c r="U49" s="47"/>
      <c r="V49" s="146"/>
      <c r="W49" s="19"/>
      <c r="Z49" s="21">
        <v>62</v>
      </c>
      <c r="AA49" s="177">
        <v>863</v>
      </c>
      <c r="AB49" s="177">
        <v>0.04</v>
      </c>
      <c r="AC49" s="177" t="s">
        <v>208</v>
      </c>
      <c r="AD49" s="7" t="s">
        <v>4</v>
      </c>
      <c r="AE49" s="7" t="s">
        <v>4</v>
      </c>
      <c r="AJ49" s="14">
        <v>53412</v>
      </c>
      <c r="AK49" s="173">
        <v>0.09075</v>
      </c>
      <c r="AL49" s="14">
        <v>1830.66</v>
      </c>
      <c r="AO49" s="168"/>
      <c r="AP49" s="169"/>
      <c r="AQ49" s="170"/>
      <c r="AR49" s="167"/>
      <c r="AS49" s="167"/>
    </row>
    <row r="50" spans="1:45" ht="15">
      <c r="A50" s="3"/>
      <c r="J50" s="91" t="s">
        <v>33</v>
      </c>
      <c r="K50" s="14">
        <f>(Reg_Net_Grs+IDL_Full)-M11</f>
        <v>2884.68</v>
      </c>
      <c r="L50" s="14" t="s">
        <v>310</v>
      </c>
      <c r="R50" s="148" t="s">
        <v>301</v>
      </c>
      <c r="S50" s="14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82">
        <f>IF(S50&gt;0,VLOOKUP(S50,Mand_Hold_Factor,2),VLOOKUP(S51,Mand_Hold_Factor,2))</f>
        <v>0.6075</v>
      </c>
      <c r="V50" s="146"/>
      <c r="W50" s="19"/>
      <c r="Z50" s="21">
        <v>63</v>
      </c>
      <c r="AA50" s="177">
        <v>238</v>
      </c>
      <c r="AB50" s="177">
        <v>0.08</v>
      </c>
      <c r="AC50" s="177" t="s">
        <v>159</v>
      </c>
      <c r="AD50" s="7" t="s">
        <v>4</v>
      </c>
      <c r="AE50" s="7" t="s">
        <v>4</v>
      </c>
      <c r="AJ50" s="14">
        <v>63089</v>
      </c>
      <c r="AK50" s="173">
        <v>0.10505</v>
      </c>
      <c r="AL50" s="14">
        <v>2708.85</v>
      </c>
      <c r="AO50" s="168"/>
      <c r="AP50" s="169"/>
      <c r="AQ50" s="170"/>
      <c r="AR50" s="167"/>
      <c r="AS50" s="167"/>
    </row>
    <row r="51" spans="1:45" ht="15">
      <c r="A51" s="3" t="s">
        <v>344</v>
      </c>
      <c r="J51" s="91" t="s">
        <v>35</v>
      </c>
      <c r="K51" s="14">
        <f>Salary_Rate</f>
        <v>4000</v>
      </c>
      <c r="L51" s="14" t="s">
        <v>311</v>
      </c>
      <c r="R51" s="148" t="s">
        <v>302</v>
      </c>
      <c r="S51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146"/>
      <c r="Z51" s="21">
        <v>64</v>
      </c>
      <c r="AA51" s="177">
        <v>238</v>
      </c>
      <c r="AB51" s="177">
        <v>0.08</v>
      </c>
      <c r="AC51" s="177" t="s">
        <v>208</v>
      </c>
      <c r="AD51" s="7" t="s">
        <v>4</v>
      </c>
      <c r="AE51" s="7" t="s">
        <v>4</v>
      </c>
      <c r="AJ51" s="14">
        <v>1000000</v>
      </c>
      <c r="AK51" s="173">
        <v>0.11605</v>
      </c>
      <c r="AL51" s="14">
        <v>101131.35</v>
      </c>
      <c r="AO51" s="168"/>
      <c r="AP51" s="169"/>
      <c r="AQ51" s="170"/>
      <c r="AR51" s="167"/>
      <c r="AS51" s="167"/>
    </row>
    <row r="52" spans="1:45" ht="15">
      <c r="A52" s="3" t="s">
        <v>427</v>
      </c>
      <c r="J52" s="91" t="s">
        <v>37</v>
      </c>
      <c r="K52" s="14">
        <f>Salary_Rate</f>
        <v>4000</v>
      </c>
      <c r="L52" s="14" t="s">
        <v>311</v>
      </c>
      <c r="R52" s="14" t="s">
        <v>278</v>
      </c>
      <c r="S52" s="14">
        <v>1</v>
      </c>
      <c r="T52" s="19">
        <v>0.6075</v>
      </c>
      <c r="U52" s="7" t="s">
        <v>297</v>
      </c>
      <c r="V52" s="146"/>
      <c r="Z52" s="21">
        <v>66</v>
      </c>
      <c r="AA52" s="177">
        <v>863</v>
      </c>
      <c r="AB52" s="177">
        <v>0.08</v>
      </c>
      <c r="AC52" s="177" t="s">
        <v>208</v>
      </c>
      <c r="AD52" s="7" t="s">
        <v>4</v>
      </c>
      <c r="AE52" s="7" t="s">
        <v>4</v>
      </c>
      <c r="AJ52" s="14">
        <v>9999999</v>
      </c>
      <c r="AK52" s="173">
        <v>0.11605</v>
      </c>
      <c r="AL52" s="14">
        <v>99999</v>
      </c>
      <c r="AO52" s="168"/>
      <c r="AP52" s="169"/>
      <c r="AQ52" s="170"/>
      <c r="AR52" s="167"/>
      <c r="AS52" s="167"/>
    </row>
    <row r="53" spans="1:45" ht="15">
      <c r="A53" s="3" t="s">
        <v>409</v>
      </c>
      <c r="J53" s="91" t="s">
        <v>40</v>
      </c>
      <c r="K53" s="14">
        <f>Salary_Rate</f>
        <v>4000</v>
      </c>
      <c r="L53" s="14" t="s">
        <v>311</v>
      </c>
      <c r="R53" s="14" t="s">
        <v>296</v>
      </c>
      <c r="S53" s="14">
        <v>2</v>
      </c>
      <c r="T53" s="19">
        <v>0.6695</v>
      </c>
      <c r="U53" s="7" t="s">
        <v>297</v>
      </c>
      <c r="V53" s="146"/>
      <c r="Z53" s="21">
        <v>67</v>
      </c>
      <c r="AA53" s="177">
        <v>317</v>
      </c>
      <c r="AB53" s="177">
        <v>0</v>
      </c>
      <c r="AC53" s="177" t="s">
        <v>159</v>
      </c>
      <c r="AD53" s="7" t="s">
        <v>4</v>
      </c>
      <c r="AE53" s="7" t="s">
        <v>4</v>
      </c>
      <c r="AJ53" s="14">
        <v>9999999</v>
      </c>
      <c r="AK53" s="173">
        <v>0.11605</v>
      </c>
      <c r="AL53" s="14">
        <v>99999</v>
      </c>
      <c r="AO53" s="168"/>
      <c r="AP53" s="169"/>
      <c r="AQ53" s="170"/>
      <c r="AR53" s="167"/>
      <c r="AS53" s="167"/>
    </row>
    <row r="54" spans="1:45" ht="15">
      <c r="A54" s="3" t="s">
        <v>345</v>
      </c>
      <c r="J54" s="15"/>
      <c r="K54" s="69"/>
      <c r="R54" s="14" t="s">
        <v>378</v>
      </c>
      <c r="S54" s="14">
        <v>3</v>
      </c>
      <c r="T54" s="19">
        <v>0.684</v>
      </c>
      <c r="U54" s="7" t="s">
        <v>297</v>
      </c>
      <c r="V54" s="146"/>
      <c r="Z54" s="21">
        <v>68</v>
      </c>
      <c r="AA54" s="177">
        <v>317</v>
      </c>
      <c r="AB54" s="177">
        <v>0</v>
      </c>
      <c r="AC54" s="177" t="s">
        <v>208</v>
      </c>
      <c r="AD54" s="7" t="s">
        <v>4</v>
      </c>
      <c r="AE54" s="7" t="s">
        <v>4</v>
      </c>
      <c r="AJ54" s="14">
        <v>9999999</v>
      </c>
      <c r="AK54" s="173">
        <v>0.11605</v>
      </c>
      <c r="AL54" s="14">
        <v>99999</v>
      </c>
      <c r="AO54" s="168"/>
      <c r="AP54" s="169"/>
      <c r="AQ54" s="170"/>
      <c r="AR54" s="167"/>
      <c r="AS54" s="167"/>
    </row>
    <row r="55" spans="1:45" ht="15">
      <c r="A55" s="5"/>
      <c r="J55" s="96" t="s">
        <v>41</v>
      </c>
      <c r="M55" s="95"/>
      <c r="R55" s="14" t="s">
        <v>278</v>
      </c>
      <c r="S55" s="14">
        <v>4</v>
      </c>
      <c r="T55" s="19">
        <v>0.9235</v>
      </c>
      <c r="U55" s="7" t="s">
        <v>298</v>
      </c>
      <c r="Z55" s="21">
        <v>91</v>
      </c>
      <c r="AA55" s="177">
        <v>0</v>
      </c>
      <c r="AB55" s="177">
        <v>0</v>
      </c>
      <c r="AC55" s="177" t="s">
        <v>208</v>
      </c>
      <c r="AD55" s="7" t="s">
        <v>4</v>
      </c>
      <c r="AE55" s="7" t="s">
        <v>4</v>
      </c>
      <c r="AJ55" s="14">
        <v>9999999</v>
      </c>
      <c r="AK55" s="173">
        <v>0.11605</v>
      </c>
      <c r="AL55" s="14">
        <v>99999</v>
      </c>
      <c r="AO55" s="168"/>
      <c r="AP55" s="169"/>
      <c r="AQ55" s="170"/>
      <c r="AR55" s="167"/>
      <c r="AS55" s="167"/>
    </row>
    <row r="56" spans="1:45" ht="15">
      <c r="A56" s="153" t="s">
        <v>415</v>
      </c>
      <c r="J56" s="96" t="s">
        <v>42</v>
      </c>
      <c r="K56" s="14">
        <f>IF(PayFreq="M",12,IF(PayFreq="S",24,26))</f>
        <v>12</v>
      </c>
      <c r="L56" s="20"/>
      <c r="M56" s="95"/>
      <c r="R56" s="14" t="s">
        <v>296</v>
      </c>
      <c r="S56" s="14">
        <v>5</v>
      </c>
      <c r="T56" s="19">
        <v>0.9855</v>
      </c>
      <c r="U56" s="7" t="s">
        <v>298</v>
      </c>
      <c r="Z56" s="21">
        <v>92</v>
      </c>
      <c r="AA56" s="177">
        <v>0</v>
      </c>
      <c r="AB56" s="177">
        <v>0</v>
      </c>
      <c r="AC56" s="177" t="s">
        <v>208</v>
      </c>
      <c r="AD56" s="7" t="s">
        <v>4</v>
      </c>
      <c r="AE56" s="7" t="s">
        <v>4</v>
      </c>
      <c r="AO56" s="167"/>
      <c r="AP56" s="167"/>
      <c r="AQ56" s="167"/>
      <c r="AR56" s="167"/>
      <c r="AS56" s="167"/>
    </row>
    <row r="57" spans="1:45" ht="15">
      <c r="A57" s="5"/>
      <c r="J57" s="96" t="s">
        <v>43</v>
      </c>
      <c r="K57" s="14">
        <f>(FEDE*FEDEXMPT1)</f>
        <v>0</v>
      </c>
      <c r="L57" s="20"/>
      <c r="M57" s="95"/>
      <c r="R57" s="14" t="s">
        <v>378</v>
      </c>
      <c r="S57" s="14">
        <v>6</v>
      </c>
      <c r="T57" s="19">
        <v>1</v>
      </c>
      <c r="U57" s="7" t="s">
        <v>298</v>
      </c>
      <c r="V57" s="20"/>
      <c r="Z57" s="21">
        <v>93</v>
      </c>
      <c r="AA57" s="177">
        <v>317</v>
      </c>
      <c r="AB57" s="177">
        <v>0</v>
      </c>
      <c r="AC57" s="177" t="s">
        <v>208</v>
      </c>
      <c r="AD57" s="7" t="s">
        <v>4</v>
      </c>
      <c r="AE57" s="7" t="s">
        <v>4</v>
      </c>
      <c r="AJ57" s="9" t="s">
        <v>78</v>
      </c>
      <c r="AO57" s="166"/>
      <c r="AP57" s="167"/>
      <c r="AQ57" s="167"/>
      <c r="AR57" s="167"/>
      <c r="AS57" s="167"/>
    </row>
    <row r="58" spans="1:45" ht="15">
      <c r="A58" s="153" t="s">
        <v>367</v>
      </c>
      <c r="J58" s="96" t="s">
        <v>44</v>
      </c>
      <c r="M58" s="95"/>
      <c r="R58" s="14" t="s">
        <v>278</v>
      </c>
      <c r="S58" s="14">
        <v>7</v>
      </c>
      <c r="T58" s="19">
        <v>0.6735</v>
      </c>
      <c r="U58" s="7" t="s">
        <v>299</v>
      </c>
      <c r="Z58" s="21">
        <v>95</v>
      </c>
      <c r="AA58" s="177">
        <v>0</v>
      </c>
      <c r="AB58" s="177">
        <v>0</v>
      </c>
      <c r="AC58" s="177" t="s">
        <v>209</v>
      </c>
      <c r="AD58" s="7" t="s">
        <v>4</v>
      </c>
      <c r="AE58" s="7" t="s">
        <v>4</v>
      </c>
      <c r="AJ58" s="9" t="s">
        <v>80</v>
      </c>
      <c r="AK58" s="9" t="s">
        <v>81</v>
      </c>
      <c r="AO58" s="166"/>
      <c r="AP58" s="166"/>
      <c r="AQ58" s="167"/>
      <c r="AR58" s="167"/>
      <c r="AS58" s="167"/>
    </row>
    <row r="59" spans="1:45" ht="15">
      <c r="A59" s="5"/>
      <c r="J59" s="96" t="s">
        <v>45</v>
      </c>
      <c r="K59" s="14">
        <f>(PAYFACT*TG1)</f>
        <v>44652.479999999996</v>
      </c>
      <c r="L59" s="20"/>
      <c r="M59" s="95"/>
      <c r="R59" s="14" t="s">
        <v>296</v>
      </c>
      <c r="S59" s="14">
        <v>8</v>
      </c>
      <c r="T59" s="19">
        <v>0.7355</v>
      </c>
      <c r="U59" s="7" t="s">
        <v>299</v>
      </c>
      <c r="Z59" s="21">
        <v>96</v>
      </c>
      <c r="AA59" s="177">
        <v>0</v>
      </c>
      <c r="AB59" s="177">
        <v>0</v>
      </c>
      <c r="AC59" s="177" t="s">
        <v>209</v>
      </c>
      <c r="AD59" s="7" t="s">
        <v>4</v>
      </c>
      <c r="AE59" s="7" t="s">
        <v>4</v>
      </c>
      <c r="AJ59" s="9" t="s">
        <v>83</v>
      </c>
      <c r="AK59" s="7">
        <v>0</v>
      </c>
      <c r="AL59" s="7">
        <v>1</v>
      </c>
      <c r="AM59" s="7">
        <v>2</v>
      </c>
      <c r="AN59" s="41" t="s">
        <v>84</v>
      </c>
      <c r="AO59" s="166"/>
      <c r="AP59" s="167"/>
      <c r="AQ59" s="167"/>
      <c r="AR59" s="167"/>
      <c r="AS59" s="171" t="s">
        <v>84</v>
      </c>
    </row>
    <row r="60" spans="1:45" ht="15">
      <c r="A60" s="153" t="s">
        <v>368</v>
      </c>
      <c r="J60" s="96" t="s">
        <v>46</v>
      </c>
      <c r="K60" s="149">
        <f>ROUND(PAYFACT*TG2,2)</f>
        <v>4363.68</v>
      </c>
      <c r="L60" s="20"/>
      <c r="M60" s="95"/>
      <c r="R60" s="14" t="s">
        <v>378</v>
      </c>
      <c r="S60" s="14">
        <v>9</v>
      </c>
      <c r="T60" s="19">
        <v>0.75</v>
      </c>
      <c r="U60" s="7" t="s">
        <v>299</v>
      </c>
      <c r="Z60" s="21">
        <v>97</v>
      </c>
      <c r="AA60" s="177">
        <v>317</v>
      </c>
      <c r="AB60" s="177">
        <v>0</v>
      </c>
      <c r="AC60" s="177" t="s">
        <v>159</v>
      </c>
      <c r="AD60" s="7" t="s">
        <v>4</v>
      </c>
      <c r="AE60" s="7" t="s">
        <v>4</v>
      </c>
      <c r="AJ60" s="9" t="s">
        <v>23</v>
      </c>
      <c r="AK60" s="7">
        <v>0</v>
      </c>
      <c r="AL60" s="7">
        <v>107.8</v>
      </c>
      <c r="AM60" s="7">
        <v>215.6</v>
      </c>
      <c r="AN60" s="7">
        <v>107.8</v>
      </c>
      <c r="AO60" s="166"/>
      <c r="AP60" s="167"/>
      <c r="AQ60" s="167"/>
      <c r="AR60" s="167"/>
      <c r="AS60" s="167">
        <v>108.9</v>
      </c>
    </row>
    <row r="61" spans="1:45" ht="15">
      <c r="A61" s="5" t="s">
        <v>379</v>
      </c>
      <c r="J61" s="96" t="s">
        <v>47</v>
      </c>
      <c r="K61" s="14">
        <f>(PAYFACT*TG3)</f>
        <v>34616.159999999996</v>
      </c>
      <c r="L61" s="20"/>
      <c r="M61" s="95"/>
      <c r="R61" s="14" t="s">
        <v>278</v>
      </c>
      <c r="S61" s="14">
        <v>10</v>
      </c>
      <c r="T61" s="19">
        <v>0.8575</v>
      </c>
      <c r="U61" s="7" t="s">
        <v>300</v>
      </c>
      <c r="Z61" s="21">
        <v>98</v>
      </c>
      <c r="AA61" s="177">
        <v>0</v>
      </c>
      <c r="AB61" s="177">
        <v>0</v>
      </c>
      <c r="AC61" s="177" t="s">
        <v>159</v>
      </c>
      <c r="AD61" s="7" t="s">
        <v>4</v>
      </c>
      <c r="AE61" s="7" t="s">
        <v>4</v>
      </c>
      <c r="AJ61" s="9" t="s">
        <v>86</v>
      </c>
      <c r="AK61" s="7">
        <v>0</v>
      </c>
      <c r="AL61" s="7">
        <v>107.8</v>
      </c>
      <c r="AM61" s="7">
        <v>215.6</v>
      </c>
      <c r="AN61" s="7">
        <v>107.8</v>
      </c>
      <c r="AO61" s="166"/>
      <c r="AP61" s="167"/>
      <c r="AQ61" s="167"/>
      <c r="AR61" s="167"/>
      <c r="AS61" s="167">
        <v>108.9</v>
      </c>
    </row>
    <row r="62" spans="1:31" ht="15">
      <c r="A62" s="5" t="s">
        <v>369</v>
      </c>
      <c r="J62" s="96" t="s">
        <v>48</v>
      </c>
      <c r="K62" s="14">
        <f>(PAYFACT*TG4)</f>
        <v>48000</v>
      </c>
      <c r="L62" s="20"/>
      <c r="M62" s="95"/>
      <c r="R62" s="14" t="s">
        <v>296</v>
      </c>
      <c r="S62" s="14">
        <v>11</v>
      </c>
      <c r="T62" s="19">
        <v>0.9195</v>
      </c>
      <c r="U62" s="7" t="s">
        <v>300</v>
      </c>
      <c r="Z62" s="21">
        <v>99</v>
      </c>
      <c r="AA62" s="177">
        <v>513</v>
      </c>
      <c r="AB62" s="177">
        <v>0</v>
      </c>
      <c r="AC62" s="177" t="s">
        <v>209</v>
      </c>
      <c r="AD62" s="7" t="s">
        <v>4</v>
      </c>
      <c r="AE62" s="7" t="s">
        <v>4</v>
      </c>
    </row>
    <row r="63" spans="1:31" ht="15">
      <c r="A63" s="5"/>
      <c r="J63" s="96" t="s">
        <v>49</v>
      </c>
      <c r="K63" s="14">
        <f>(PAYFACT*TG5)</f>
        <v>48000</v>
      </c>
      <c r="L63" s="20"/>
      <c r="M63" s="95"/>
      <c r="R63" s="14" t="s">
        <v>378</v>
      </c>
      <c r="S63" s="14">
        <v>12</v>
      </c>
      <c r="T63" s="19">
        <v>0.934</v>
      </c>
      <c r="U63" s="7" t="s">
        <v>300</v>
      </c>
      <c r="Z63" s="21" t="s">
        <v>210</v>
      </c>
      <c r="AA63" s="177">
        <v>317</v>
      </c>
      <c r="AB63" s="177">
        <v>0.07</v>
      </c>
      <c r="AC63" s="177" t="s">
        <v>208</v>
      </c>
      <c r="AD63" s="7" t="s">
        <v>4</v>
      </c>
      <c r="AE63" s="7" t="s">
        <v>4</v>
      </c>
    </row>
    <row r="64" spans="1:31" ht="15">
      <c r="A64" s="153" t="s">
        <v>370</v>
      </c>
      <c r="J64" s="96" t="s">
        <v>50</v>
      </c>
      <c r="K64" s="14">
        <f>(PAYFACT*TG6)</f>
        <v>48000</v>
      </c>
      <c r="L64" s="20"/>
      <c r="M64" s="95"/>
      <c r="Z64" s="21" t="s">
        <v>482</v>
      </c>
      <c r="AA64" s="177">
        <v>317</v>
      </c>
      <c r="AB64" s="177">
        <v>0.11</v>
      </c>
      <c r="AC64" s="177" t="s">
        <v>208</v>
      </c>
      <c r="AD64" s="179">
        <v>38960</v>
      </c>
      <c r="AE64" s="7" t="s">
        <v>544</v>
      </c>
    </row>
    <row r="65" spans="1:31" ht="15">
      <c r="A65" s="5"/>
      <c r="C65" s="9"/>
      <c r="J65" s="15"/>
      <c r="Z65" s="21" t="s">
        <v>483</v>
      </c>
      <c r="AA65" s="177">
        <v>317</v>
      </c>
      <c r="AB65" s="177">
        <v>0.11</v>
      </c>
      <c r="AC65" s="177" t="s">
        <v>159</v>
      </c>
      <c r="AD65" s="179">
        <v>38960</v>
      </c>
      <c r="AE65" s="7" t="s">
        <v>544</v>
      </c>
    </row>
    <row r="66" spans="1:31" ht="15">
      <c r="A66" s="152" t="s">
        <v>375</v>
      </c>
      <c r="J66" s="96" t="s">
        <v>52</v>
      </c>
      <c r="M66" s="95"/>
      <c r="T66" s="20"/>
      <c r="Z66" s="21" t="s">
        <v>484</v>
      </c>
      <c r="AA66" s="177">
        <v>317</v>
      </c>
      <c r="AB66" s="177">
        <v>0.11</v>
      </c>
      <c r="AC66" s="177" t="s">
        <v>159</v>
      </c>
      <c r="AD66" s="179">
        <v>38960</v>
      </c>
      <c r="AE66" s="7" t="s">
        <v>544</v>
      </c>
    </row>
    <row r="67" spans="1:31" ht="15">
      <c r="A67" s="152"/>
      <c r="J67" s="96" t="s">
        <v>54</v>
      </c>
      <c r="K67" s="14">
        <f>ROUND(FAN1-FEDEXM,2)</f>
        <v>44652.48</v>
      </c>
      <c r="L67" s="20"/>
      <c r="M67" s="95"/>
      <c r="T67" s="20"/>
      <c r="Z67" s="21" t="s">
        <v>485</v>
      </c>
      <c r="AA67" s="177">
        <v>317</v>
      </c>
      <c r="AB67" s="177">
        <v>0.11</v>
      </c>
      <c r="AC67" s="177" t="s">
        <v>208</v>
      </c>
      <c r="AD67" s="179">
        <v>38960</v>
      </c>
      <c r="AE67" s="7" t="s">
        <v>544</v>
      </c>
    </row>
    <row r="68" spans="1:31" ht="15">
      <c r="A68" s="154" t="s">
        <v>416</v>
      </c>
      <c r="J68" s="96" t="s">
        <v>55</v>
      </c>
      <c r="K68" s="149">
        <f>(K60-FEDEXM)</f>
        <v>4363.68</v>
      </c>
      <c r="L68" s="20"/>
      <c r="M68" s="95"/>
      <c r="Z68" s="21" t="s">
        <v>486</v>
      </c>
      <c r="AA68" s="177">
        <v>317</v>
      </c>
      <c r="AB68" s="177">
        <v>0.11</v>
      </c>
      <c r="AC68" s="177" t="s">
        <v>159</v>
      </c>
      <c r="AD68" s="179">
        <v>38960</v>
      </c>
      <c r="AE68" s="7" t="s">
        <v>544</v>
      </c>
    </row>
    <row r="69" spans="1:31" ht="15">
      <c r="A69" s="2" t="s">
        <v>417</v>
      </c>
      <c r="J69" s="96" t="s">
        <v>56</v>
      </c>
      <c r="K69" s="14">
        <f>(K61-FEDEXM)</f>
        <v>34616.159999999996</v>
      </c>
      <c r="L69" s="20"/>
      <c r="M69" s="95"/>
      <c r="Z69" s="21" t="s">
        <v>487</v>
      </c>
      <c r="AA69" s="177">
        <v>317</v>
      </c>
      <c r="AB69" s="177">
        <v>0.11</v>
      </c>
      <c r="AC69" s="177" t="s">
        <v>208</v>
      </c>
      <c r="AD69" s="179">
        <v>38960</v>
      </c>
      <c r="AE69" s="7" t="s">
        <v>544</v>
      </c>
    </row>
    <row r="70" spans="1:31" ht="15">
      <c r="A70" s="2"/>
      <c r="J70" s="96" t="s">
        <v>57</v>
      </c>
      <c r="K70" s="14">
        <f>(K62-FEDEXM)</f>
        <v>48000</v>
      </c>
      <c r="L70" s="20"/>
      <c r="M70" s="95"/>
      <c r="T70" s="20"/>
      <c r="Z70" s="21" t="s">
        <v>531</v>
      </c>
      <c r="AA70" s="177">
        <v>317</v>
      </c>
      <c r="AB70" s="177">
        <v>0.09</v>
      </c>
      <c r="AC70" s="177" t="s">
        <v>208</v>
      </c>
      <c r="AD70" s="179">
        <v>39022</v>
      </c>
      <c r="AE70" s="7" t="s">
        <v>545</v>
      </c>
    </row>
    <row r="71" spans="1:31" ht="15">
      <c r="A71" s="152" t="s">
        <v>380</v>
      </c>
      <c r="J71" s="96" t="s">
        <v>58</v>
      </c>
      <c r="K71" s="14">
        <f>(K63-FEDEXM)</f>
        <v>48000</v>
      </c>
      <c r="L71" s="20"/>
      <c r="M71" s="95"/>
      <c r="T71" s="20"/>
      <c r="Z71" s="21" t="s">
        <v>532</v>
      </c>
      <c r="AA71" s="177">
        <v>317</v>
      </c>
      <c r="AB71" s="177">
        <v>0.09</v>
      </c>
      <c r="AC71" s="177" t="s">
        <v>159</v>
      </c>
      <c r="AD71" s="179">
        <v>39022</v>
      </c>
      <c r="AE71" s="7" t="s">
        <v>545</v>
      </c>
    </row>
    <row r="72" spans="1:31" ht="15">
      <c r="A72" s="2" t="s">
        <v>418</v>
      </c>
      <c r="J72" s="96" t="s">
        <v>59</v>
      </c>
      <c r="K72" s="14">
        <f>(K64-FEDEXM)</f>
        <v>48000</v>
      </c>
      <c r="L72" s="20"/>
      <c r="M72" s="95"/>
      <c r="T72" s="20"/>
      <c r="Z72" s="21" t="s">
        <v>488</v>
      </c>
      <c r="AA72" s="177">
        <v>317</v>
      </c>
      <c r="AB72" s="177">
        <v>0.11</v>
      </c>
      <c r="AC72" s="177" t="s">
        <v>159</v>
      </c>
      <c r="AD72" s="179">
        <v>38960</v>
      </c>
      <c r="AE72" s="7" t="s">
        <v>544</v>
      </c>
    </row>
    <row r="73" spans="1:31" ht="15">
      <c r="A73" s="2" t="s">
        <v>419</v>
      </c>
      <c r="J73" s="15"/>
      <c r="T73" s="20"/>
      <c r="Z73" s="21" t="s">
        <v>489</v>
      </c>
      <c r="AA73" s="177">
        <v>317</v>
      </c>
      <c r="AB73" s="177">
        <v>0.11</v>
      </c>
      <c r="AC73" s="177" t="s">
        <v>208</v>
      </c>
      <c r="AD73" s="179">
        <v>38960</v>
      </c>
      <c r="AE73" s="7" t="s">
        <v>544</v>
      </c>
    </row>
    <row r="74" spans="1:31" ht="15">
      <c r="A74" s="2"/>
      <c r="J74" s="96" t="s">
        <v>60</v>
      </c>
      <c r="M74" s="95"/>
      <c r="T74" s="20"/>
      <c r="Z74" s="21" t="s">
        <v>533</v>
      </c>
      <c r="AA74" s="177">
        <v>317</v>
      </c>
      <c r="AB74" s="177">
        <v>0.09</v>
      </c>
      <c r="AC74" s="177" t="s">
        <v>159</v>
      </c>
      <c r="AD74" s="179">
        <v>39022</v>
      </c>
      <c r="AE74" s="7" t="s">
        <v>545</v>
      </c>
    </row>
    <row r="75" spans="1:31" ht="15">
      <c r="A75" s="152" t="s">
        <v>420</v>
      </c>
      <c r="J75" s="96" t="s">
        <v>62</v>
      </c>
      <c r="K75" s="14">
        <f>IF(OR(FEDM="S",FEDM="H"),VLOOKUP(FTG1,FTXTBLSH1,1),IF(FEDM="M",VLOOKUP(FTG1,FTXTBLM1,1),0))</f>
        <v>24500</v>
      </c>
      <c r="L75" s="20"/>
      <c r="M75" s="95"/>
      <c r="T75" s="20"/>
      <c r="Z75" s="21" t="s">
        <v>534</v>
      </c>
      <c r="AA75" s="177">
        <v>317</v>
      </c>
      <c r="AB75" s="177">
        <v>0.09</v>
      </c>
      <c r="AC75" s="177" t="s">
        <v>208</v>
      </c>
      <c r="AD75" s="179">
        <v>39022</v>
      </c>
      <c r="AE75" s="7" t="s">
        <v>545</v>
      </c>
    </row>
    <row r="76" spans="1:31" ht="15">
      <c r="A76" s="2" t="s">
        <v>555</v>
      </c>
      <c r="J76" s="96" t="s">
        <v>63</v>
      </c>
      <c r="K76" s="14">
        <f>IF(OR(FEDM="S",FEDM="H"),VLOOKUP(K68,FTXTBLSH1,1),IF(FEDM="M",VLOOKUP(K68,FTXTBLM1,1),0))</f>
        <v>-999999</v>
      </c>
      <c r="L76" s="20"/>
      <c r="M76" s="95"/>
      <c r="Z76" s="21" t="s">
        <v>535</v>
      </c>
      <c r="AA76" s="177">
        <v>317</v>
      </c>
      <c r="AB76" s="177">
        <v>0.09</v>
      </c>
      <c r="AC76" s="177" t="s">
        <v>159</v>
      </c>
      <c r="AD76" s="179">
        <v>39022</v>
      </c>
      <c r="AE76" s="7" t="s">
        <v>545</v>
      </c>
    </row>
    <row r="77" spans="1:31" ht="15">
      <c r="A77" s="2" t="s">
        <v>346</v>
      </c>
      <c r="J77" s="96" t="s">
        <v>64</v>
      </c>
      <c r="K77" s="14">
        <f>IF(OR(FEDM="S",FEDM="H"),VLOOKUP(K69,FTXTBLSH1,1),IF(FEDM="M",VLOOKUP(K69,FTXTBLM1,1),0))</f>
        <v>24500</v>
      </c>
      <c r="L77" s="20"/>
      <c r="M77" s="95"/>
      <c r="Z77" s="21" t="s">
        <v>536</v>
      </c>
      <c r="AA77" s="177">
        <v>317</v>
      </c>
      <c r="AB77" s="177">
        <v>0.09</v>
      </c>
      <c r="AC77" s="177" t="s">
        <v>208</v>
      </c>
      <c r="AD77" s="179">
        <v>39022</v>
      </c>
      <c r="AE77" s="7" t="s">
        <v>545</v>
      </c>
    </row>
    <row r="78" spans="1:31" ht="15">
      <c r="A78" s="5" t="s">
        <v>347</v>
      </c>
      <c r="J78" s="96" t="s">
        <v>458</v>
      </c>
      <c r="K78" s="14">
        <f>IF(OR(FEDM="S",FEDM="H"),VLOOKUP(K70,FTXTBLSH1,1),IF(FEDM="M",VLOOKUP(K70,FTXTBLM1,1),0))</f>
        <v>24500</v>
      </c>
      <c r="L78" s="20"/>
      <c r="M78" s="95"/>
      <c r="T78" s="20"/>
      <c r="Z78" s="21" t="s">
        <v>490</v>
      </c>
      <c r="AA78" s="177">
        <v>317</v>
      </c>
      <c r="AB78" s="177">
        <v>0.11</v>
      </c>
      <c r="AC78" s="177" t="s">
        <v>208</v>
      </c>
      <c r="AD78" s="179">
        <v>38960</v>
      </c>
      <c r="AE78" s="7" t="s">
        <v>544</v>
      </c>
    </row>
    <row r="79" spans="1:31" ht="15">
      <c r="A79" s="153"/>
      <c r="J79" s="96" t="s">
        <v>459</v>
      </c>
      <c r="K79" s="14">
        <f>IF(OR(FEDM="S",FEDM="H"),VLOOKUP(K71,FTXTBLSH1,1),IF(FEDM="M",VLOOKUP(K71,FTXTBLM1,1),0))</f>
        <v>24500</v>
      </c>
      <c r="L79" s="20"/>
      <c r="M79" s="95"/>
      <c r="T79" s="20"/>
      <c r="Z79" s="21" t="s">
        <v>491</v>
      </c>
      <c r="AA79" s="177">
        <v>317</v>
      </c>
      <c r="AB79" s="177">
        <v>0.11</v>
      </c>
      <c r="AC79" s="177" t="s">
        <v>159</v>
      </c>
      <c r="AD79" s="179">
        <v>38960</v>
      </c>
      <c r="AE79" s="7" t="s">
        <v>544</v>
      </c>
    </row>
    <row r="80" spans="1:31" ht="15">
      <c r="A80" s="153" t="s">
        <v>421</v>
      </c>
      <c r="J80" s="96" t="s">
        <v>460</v>
      </c>
      <c r="K80" s="14">
        <f>IF(OR(FEDM="S",FEDM="H"),VLOOKUP(K72,FTXTBLSH1,1),IF(FEDM="M",VLOOKUP(K72,FTXTBLM1,1),0))</f>
        <v>24500</v>
      </c>
      <c r="L80" s="20"/>
      <c r="M80" s="95"/>
      <c r="T80" s="20"/>
      <c r="Z80" s="21" t="s">
        <v>492</v>
      </c>
      <c r="AA80" s="177">
        <v>513</v>
      </c>
      <c r="AB80" s="177">
        <v>0.1</v>
      </c>
      <c r="AC80" s="177" t="s">
        <v>209</v>
      </c>
      <c r="AD80" s="179">
        <v>38960</v>
      </c>
      <c r="AE80" s="7" t="s">
        <v>544</v>
      </c>
    </row>
    <row r="81" spans="1:31" ht="15">
      <c r="A81" s="4"/>
      <c r="J81" s="15"/>
      <c r="T81" s="20"/>
      <c r="Z81" s="21" t="s">
        <v>493</v>
      </c>
      <c r="AA81" s="177">
        <v>513</v>
      </c>
      <c r="AB81" s="177">
        <v>0.1</v>
      </c>
      <c r="AC81" s="177" t="s">
        <v>209</v>
      </c>
      <c r="AD81" s="179">
        <v>38960</v>
      </c>
      <c r="AE81" s="7" t="s">
        <v>544</v>
      </c>
    </row>
    <row r="82" spans="1:31" ht="15">
      <c r="A82" s="153" t="s">
        <v>371</v>
      </c>
      <c r="J82" s="96" t="s">
        <v>66</v>
      </c>
      <c r="M82" s="95"/>
      <c r="T82" s="20"/>
      <c r="Z82" s="21" t="s">
        <v>494</v>
      </c>
      <c r="AA82" s="177">
        <v>513</v>
      </c>
      <c r="AB82" s="177">
        <v>0.1</v>
      </c>
      <c r="AC82" s="177" t="s">
        <v>209</v>
      </c>
      <c r="AD82" s="179">
        <v>38960</v>
      </c>
      <c r="AE82" s="7" t="s">
        <v>544</v>
      </c>
    </row>
    <row r="83" spans="1:31" ht="15">
      <c r="A83" s="5" t="s">
        <v>348</v>
      </c>
      <c r="J83" s="96" t="s">
        <v>67</v>
      </c>
      <c r="K83" s="14">
        <f>IF(OR(FEDM="S",FEDM="H"),VLOOKUP(FTG1,FTXTBLSH1,2),IF(FEDM="M",VLOOKUP(FTG1,FTXTBLM1,2),0))</f>
        <v>0.15</v>
      </c>
      <c r="L83" s="20"/>
      <c r="M83" s="95"/>
      <c r="T83" s="20"/>
      <c r="Z83" s="21" t="s">
        <v>495</v>
      </c>
      <c r="AA83" s="177">
        <v>513</v>
      </c>
      <c r="AB83" s="177">
        <v>0.1</v>
      </c>
      <c r="AC83" s="177" t="s">
        <v>209</v>
      </c>
      <c r="AD83" s="179">
        <v>38960</v>
      </c>
      <c r="AE83" s="7" t="s">
        <v>544</v>
      </c>
    </row>
    <row r="84" spans="1:31" ht="15">
      <c r="A84" s="3" t="s">
        <v>422</v>
      </c>
      <c r="J84" s="96" t="s">
        <v>68</v>
      </c>
      <c r="K84" s="14">
        <f>IF(OR(FEDM="S",FEDM="H"),VLOOKUP(K68,FTXTBLSH1,2),IF(FEDM="M",VLOOKUP(K68,FTXTBLM1,2),0))</f>
        <v>0</v>
      </c>
      <c r="L84" s="20"/>
      <c r="M84" s="95"/>
      <c r="Z84" s="21" t="s">
        <v>496</v>
      </c>
      <c r="AA84" s="177">
        <v>513</v>
      </c>
      <c r="AB84" s="177">
        <v>0.1</v>
      </c>
      <c r="AC84" s="177" t="s">
        <v>209</v>
      </c>
      <c r="AD84" s="179">
        <v>38960</v>
      </c>
      <c r="AE84" s="7" t="s">
        <v>544</v>
      </c>
    </row>
    <row r="85" spans="1:31" ht="15">
      <c r="A85" s="2" t="s">
        <v>423</v>
      </c>
      <c r="J85" s="96" t="s">
        <v>69</v>
      </c>
      <c r="K85" s="14">
        <f>IF(OR(FEDM="S",FEDM="H"),VLOOKUP(K69,FTXTBLSH1,2),IF(FEDM="M",VLOOKUP(K69,FTXTBLM1,2),0))</f>
        <v>0.15</v>
      </c>
      <c r="L85" s="20"/>
      <c r="M85" s="95"/>
      <c r="Z85" s="21" t="s">
        <v>497</v>
      </c>
      <c r="AA85" s="177">
        <v>513</v>
      </c>
      <c r="AB85" s="177">
        <v>0.1</v>
      </c>
      <c r="AC85" s="177" t="s">
        <v>209</v>
      </c>
      <c r="AD85" s="179">
        <v>38960</v>
      </c>
      <c r="AE85" s="7" t="s">
        <v>544</v>
      </c>
    </row>
    <row r="86" spans="1:31" ht="15">
      <c r="A86" s="2"/>
      <c r="J86" s="96" t="s">
        <v>70</v>
      </c>
      <c r="K86" s="14">
        <f>IF(OR(FEDM="S",FEDM="H"),VLOOKUP(K70,FTXTBLSH1,2),IF(FEDM="M",VLOOKUP(K70,FTXTBLM1,2),0))</f>
        <v>0.15</v>
      </c>
      <c r="L86" s="20"/>
      <c r="M86" s="95"/>
      <c r="T86" s="20"/>
      <c r="Z86" s="21" t="s">
        <v>498</v>
      </c>
      <c r="AA86" s="177">
        <v>513</v>
      </c>
      <c r="AB86" s="177">
        <v>0.1</v>
      </c>
      <c r="AC86" s="177" t="s">
        <v>209</v>
      </c>
      <c r="AD86" s="179">
        <v>38960</v>
      </c>
      <c r="AE86" s="7" t="s">
        <v>544</v>
      </c>
    </row>
    <row r="87" spans="1:31" ht="15">
      <c r="A87" s="152" t="s">
        <v>428</v>
      </c>
      <c r="J87" s="96" t="s">
        <v>71</v>
      </c>
      <c r="K87" s="14">
        <f>IF(OR(FEDM="S",FEDM="H"),VLOOKUP(K71,FTXTBLSH1,2),IF(FEDM="M",VLOOKUP(K71,FTXTBLM1,2),0))</f>
        <v>0.15</v>
      </c>
      <c r="L87" s="20"/>
      <c r="M87" s="95"/>
      <c r="T87" s="20"/>
      <c r="Z87" s="21" t="s">
        <v>526</v>
      </c>
      <c r="AA87" s="177">
        <v>317</v>
      </c>
      <c r="AB87" s="177">
        <v>0.09</v>
      </c>
      <c r="AC87" s="177" t="s">
        <v>208</v>
      </c>
      <c r="AD87" s="179">
        <v>39022</v>
      </c>
      <c r="AE87" s="7" t="s">
        <v>545</v>
      </c>
    </row>
    <row r="88" spans="1:31" ht="15">
      <c r="A88" s="2" t="s">
        <v>429</v>
      </c>
      <c r="J88" s="96" t="s">
        <v>72</v>
      </c>
      <c r="K88" s="14">
        <f>IF(OR(FEDM="S",FEDM="H"),VLOOKUP(K72,FTXTBLSH1,2),IF(FEDM="M",VLOOKUP(K72,FTXTBLM1,2),0))</f>
        <v>0.15</v>
      </c>
      <c r="L88" s="20"/>
      <c r="M88" s="95"/>
      <c r="T88" s="20"/>
      <c r="Z88" s="21" t="s">
        <v>499</v>
      </c>
      <c r="AA88" s="177">
        <v>513</v>
      </c>
      <c r="AB88" s="177">
        <v>0.1</v>
      </c>
      <c r="AC88" s="177" t="s">
        <v>209</v>
      </c>
      <c r="AD88" s="179">
        <v>38960</v>
      </c>
      <c r="AE88" s="7" t="s">
        <v>544</v>
      </c>
    </row>
    <row r="89" spans="1:31" ht="15">
      <c r="A89" s="2"/>
      <c r="J89" s="15"/>
      <c r="T89" s="20"/>
      <c r="Z89" s="21" t="s">
        <v>528</v>
      </c>
      <c r="AA89" s="177">
        <v>513</v>
      </c>
      <c r="AB89" s="177">
        <v>0.08</v>
      </c>
      <c r="AC89" s="177" t="s">
        <v>209</v>
      </c>
      <c r="AD89" s="179">
        <v>39022</v>
      </c>
      <c r="AE89" s="7" t="s">
        <v>545</v>
      </c>
    </row>
    <row r="90" spans="1:31" ht="15">
      <c r="A90" s="152" t="s">
        <v>560</v>
      </c>
      <c r="J90" s="96" t="s">
        <v>73</v>
      </c>
      <c r="M90" s="95"/>
      <c r="T90" s="20"/>
      <c r="Z90" s="21" t="s">
        <v>500</v>
      </c>
      <c r="AA90" s="177">
        <v>513</v>
      </c>
      <c r="AB90" s="177">
        <v>0.05</v>
      </c>
      <c r="AC90" s="177" t="s">
        <v>209</v>
      </c>
      <c r="AD90" s="7" t="s">
        <v>4</v>
      </c>
      <c r="AE90" s="7" t="s">
        <v>4</v>
      </c>
    </row>
    <row r="91" spans="1:31" ht="15">
      <c r="A91" s="2" t="s">
        <v>574</v>
      </c>
      <c r="J91" s="96" t="s">
        <v>74</v>
      </c>
      <c r="K91" s="14">
        <f>IF(OR(FEDM="S",FEDM="H"),VLOOKUP(FTG1,FTXTBLSH1,3),IF(FEDM="M",VLOOKUP(FTG1,FTXTBLM1,3),0))</f>
        <v>1075</v>
      </c>
      <c r="L91" s="20"/>
      <c r="M91" s="95"/>
      <c r="T91" s="20"/>
      <c r="Z91" s="21" t="s">
        <v>529</v>
      </c>
      <c r="AA91" s="177">
        <v>513</v>
      </c>
      <c r="AB91" s="177">
        <v>0.08</v>
      </c>
      <c r="AC91" s="177" t="s">
        <v>530</v>
      </c>
      <c r="AD91" s="179">
        <v>39022</v>
      </c>
      <c r="AE91" s="7" t="s">
        <v>545</v>
      </c>
    </row>
    <row r="92" spans="1:31" ht="15">
      <c r="A92" s="2"/>
      <c r="J92" s="96" t="s">
        <v>75</v>
      </c>
      <c r="K92" s="14">
        <f>IF(OR(FEDM="S",FEDM="H"),VLOOKUP(K68,FTXTBLSH1,3),IF(FEDM="M",VLOOKUP(K68,FTXTBLM1,3),0))</f>
        <v>0</v>
      </c>
      <c r="L92" s="20"/>
      <c r="M92" s="95"/>
      <c r="Z92" s="21" t="s">
        <v>527</v>
      </c>
      <c r="AA92" s="177">
        <v>317</v>
      </c>
      <c r="AB92" s="177">
        <v>0.09</v>
      </c>
      <c r="AC92" s="177" t="s">
        <v>159</v>
      </c>
      <c r="AD92" s="179">
        <v>39022</v>
      </c>
      <c r="AE92" s="7" t="s">
        <v>545</v>
      </c>
    </row>
    <row r="93" spans="1:31" ht="15">
      <c r="A93" s="152" t="s">
        <v>561</v>
      </c>
      <c r="J93" s="96" t="s">
        <v>76</v>
      </c>
      <c r="K93" s="14">
        <f>IF(OR(FEDM="S",FEDM="H"),VLOOKUP(K69,FTXTBLSH1,3),IF(FEDM="M",VLOOKUP(K69,FTXTBLM1,3),0))</f>
        <v>1075</v>
      </c>
      <c r="L93" s="20"/>
      <c r="M93" s="95"/>
      <c r="Z93" s="21" t="s">
        <v>211</v>
      </c>
      <c r="AA93" s="177">
        <v>238</v>
      </c>
      <c r="AB93" s="177">
        <v>0.06</v>
      </c>
      <c r="AC93" s="177" t="s">
        <v>208</v>
      </c>
      <c r="AD93" s="7" t="s">
        <v>4</v>
      </c>
      <c r="AE93" s="7" t="s">
        <v>4</v>
      </c>
    </row>
    <row r="94" spans="1:31" ht="15">
      <c r="A94" s="2" t="s">
        <v>563</v>
      </c>
      <c r="J94" s="96" t="s">
        <v>77</v>
      </c>
      <c r="K94" s="14">
        <f>IF(OR(FEDM="S",FEDM="H"),VLOOKUP(K70,FTXTBLSH1,3),IF(FEDM="M",VLOOKUP(K70,FTXTBLM1,3),0))</f>
        <v>1075</v>
      </c>
      <c r="L94" s="20"/>
      <c r="M94" s="95"/>
      <c r="T94" s="20"/>
      <c r="Z94" s="21" t="s">
        <v>212</v>
      </c>
      <c r="AA94" s="177">
        <v>238</v>
      </c>
      <c r="AB94" s="177">
        <v>0.06</v>
      </c>
      <c r="AC94" s="177" t="s">
        <v>159</v>
      </c>
      <c r="AD94" s="7" t="s">
        <v>4</v>
      </c>
      <c r="AE94" s="7" t="s">
        <v>4</v>
      </c>
    </row>
    <row r="95" spans="1:31" ht="15">
      <c r="A95" s="2" t="s">
        <v>562</v>
      </c>
      <c r="J95" s="96" t="s">
        <v>79</v>
      </c>
      <c r="K95" s="14">
        <f>IF(OR(FEDM="S",FEDM="H"),VLOOKUP(K71,FTXTBLSH1,3),IF(FEDM="M",VLOOKUP(K71,FTXTBLM1,3),0))</f>
        <v>1075</v>
      </c>
      <c r="L95" s="20"/>
      <c r="M95" s="95"/>
      <c r="T95" s="20"/>
      <c r="Z95" s="21" t="s">
        <v>213</v>
      </c>
      <c r="AA95" s="177">
        <v>863</v>
      </c>
      <c r="AB95" s="177">
        <v>0.08</v>
      </c>
      <c r="AC95" s="177" t="s">
        <v>208</v>
      </c>
      <c r="AD95" s="7" t="s">
        <v>4</v>
      </c>
      <c r="AE95" s="7" t="s">
        <v>4</v>
      </c>
    </row>
    <row r="96" spans="1:31" ht="15">
      <c r="A96" s="2"/>
      <c r="J96" s="96" t="s">
        <v>82</v>
      </c>
      <c r="K96" s="14">
        <f>IF(OR(FEDM="S",FEDM="H"),VLOOKUP(K72,FTXTBLSH1,3),IF(FEDM="M",VLOOKUP(K72,FTXTBLM1,3),0))</f>
        <v>1075</v>
      </c>
      <c r="L96" s="20"/>
      <c r="M96" s="95"/>
      <c r="T96" s="20"/>
      <c r="Z96" s="21" t="s">
        <v>214</v>
      </c>
      <c r="AA96" s="177">
        <v>863</v>
      </c>
      <c r="AB96" s="177">
        <v>0.08</v>
      </c>
      <c r="AC96" s="177" t="s">
        <v>159</v>
      </c>
      <c r="AD96" s="7" t="s">
        <v>4</v>
      </c>
      <c r="AE96" s="7" t="s">
        <v>4</v>
      </c>
    </row>
    <row r="97" spans="1:31" ht="15">
      <c r="A97" s="152" t="s">
        <v>564</v>
      </c>
      <c r="J97" s="15"/>
      <c r="T97" s="20"/>
      <c r="Z97" s="21" t="s">
        <v>501</v>
      </c>
      <c r="AA97" s="177">
        <v>238</v>
      </c>
      <c r="AB97" s="177">
        <v>0.1</v>
      </c>
      <c r="AC97" s="177" t="s">
        <v>208</v>
      </c>
      <c r="AD97" s="179">
        <v>38960</v>
      </c>
      <c r="AE97" s="7" t="s">
        <v>544</v>
      </c>
    </row>
    <row r="98" spans="1:31" ht="15">
      <c r="A98" s="2" t="s">
        <v>572</v>
      </c>
      <c r="J98" s="96" t="s">
        <v>85</v>
      </c>
      <c r="M98" s="95"/>
      <c r="T98" s="20"/>
      <c r="Z98" s="21" t="s">
        <v>502</v>
      </c>
      <c r="AA98" s="177">
        <v>238</v>
      </c>
      <c r="AB98" s="177">
        <v>0.1</v>
      </c>
      <c r="AC98" s="177" t="s">
        <v>159</v>
      </c>
      <c r="AD98" s="179">
        <v>38960</v>
      </c>
      <c r="AE98" s="7" t="s">
        <v>544</v>
      </c>
    </row>
    <row r="99" spans="1:31" ht="15">
      <c r="A99" s="2" t="s">
        <v>565</v>
      </c>
      <c r="J99" s="96" t="s">
        <v>87</v>
      </c>
      <c r="K99" s="14">
        <f>ROUND(FTG1-FBSA1,2)</f>
        <v>20152.48</v>
      </c>
      <c r="L99" s="20"/>
      <c r="M99" s="95"/>
      <c r="T99" s="20"/>
      <c r="Z99" s="21" t="s">
        <v>215</v>
      </c>
      <c r="AA99" s="177">
        <v>513</v>
      </c>
      <c r="AB99" s="177">
        <v>0.05</v>
      </c>
      <c r="AC99" s="177" t="s">
        <v>209</v>
      </c>
      <c r="AD99" s="7" t="s">
        <v>4</v>
      </c>
      <c r="AE99" s="7" t="s">
        <v>4</v>
      </c>
    </row>
    <row r="100" spans="1:31" ht="15">
      <c r="A100" s="152"/>
      <c r="J100" s="96" t="s">
        <v>88</v>
      </c>
      <c r="K100" s="149">
        <f>ROUND(K68-K76,2)</f>
        <v>1004362.68</v>
      </c>
      <c r="L100" s="20"/>
      <c r="M100" s="95"/>
      <c r="Z100" s="21" t="s">
        <v>216</v>
      </c>
      <c r="AA100" s="177">
        <v>513</v>
      </c>
      <c r="AB100" s="177">
        <v>0.05</v>
      </c>
      <c r="AC100" s="177" t="s">
        <v>209</v>
      </c>
      <c r="AD100" s="7" t="s">
        <v>4</v>
      </c>
      <c r="AE100" s="7" t="s">
        <v>4</v>
      </c>
    </row>
    <row r="101" spans="1:31" ht="15">
      <c r="A101" s="152" t="s">
        <v>566</v>
      </c>
      <c r="J101" s="96" t="s">
        <v>89</v>
      </c>
      <c r="K101" s="14">
        <f>(K69-K77)</f>
        <v>10116.159999999996</v>
      </c>
      <c r="L101" s="20"/>
      <c r="M101" s="95"/>
      <c r="Z101" s="21" t="s">
        <v>217</v>
      </c>
      <c r="AA101" s="177">
        <v>317</v>
      </c>
      <c r="AB101" s="177">
        <v>0.06</v>
      </c>
      <c r="AC101" s="177" t="s">
        <v>208</v>
      </c>
      <c r="AD101" s="7" t="s">
        <v>4</v>
      </c>
      <c r="AE101" s="7" t="s">
        <v>4</v>
      </c>
    </row>
    <row r="102" spans="1:31" ht="15">
      <c r="A102" s="2" t="s">
        <v>573</v>
      </c>
      <c r="J102" s="96" t="s">
        <v>90</v>
      </c>
      <c r="K102" s="14">
        <f>(K70-K78)</f>
        <v>23500</v>
      </c>
      <c r="L102" s="20"/>
      <c r="M102" s="95"/>
      <c r="T102" s="20"/>
      <c r="Z102" s="21" t="s">
        <v>218</v>
      </c>
      <c r="AA102" s="177">
        <v>0</v>
      </c>
      <c r="AB102" s="177">
        <v>0</v>
      </c>
      <c r="AC102" s="177" t="s">
        <v>209</v>
      </c>
      <c r="AD102" s="7" t="s">
        <v>4</v>
      </c>
      <c r="AE102" s="7" t="s">
        <v>4</v>
      </c>
    </row>
    <row r="103" spans="1:31" ht="15">
      <c r="A103" s="2" t="s">
        <v>567</v>
      </c>
      <c r="J103" s="96" t="s">
        <v>91</v>
      </c>
      <c r="K103" s="14">
        <f>(K71-K79)</f>
        <v>23500</v>
      </c>
      <c r="L103" s="20"/>
      <c r="M103" s="95"/>
      <c r="T103" s="20"/>
      <c r="Z103" s="21" t="s">
        <v>219</v>
      </c>
      <c r="AA103" s="177">
        <v>0</v>
      </c>
      <c r="AB103" s="177">
        <v>0</v>
      </c>
      <c r="AC103" s="177" t="s">
        <v>209</v>
      </c>
      <c r="AD103" s="7" t="s">
        <v>4</v>
      </c>
      <c r="AE103" s="7" t="s">
        <v>4</v>
      </c>
    </row>
    <row r="104" spans="1:31" ht="15">
      <c r="A104" s="2"/>
      <c r="J104" s="96" t="s">
        <v>92</v>
      </c>
      <c r="K104" s="14">
        <f>(K72-K80)</f>
        <v>23500</v>
      </c>
      <c r="L104" s="20"/>
      <c r="M104" s="95"/>
      <c r="T104" s="20"/>
      <c r="Z104" s="21" t="s">
        <v>220</v>
      </c>
      <c r="AA104" s="177">
        <v>0</v>
      </c>
      <c r="AB104" s="177">
        <v>0</v>
      </c>
      <c r="AC104" s="177" t="s">
        <v>209</v>
      </c>
      <c r="AD104" s="7" t="s">
        <v>4</v>
      </c>
      <c r="AE104" s="7" t="s">
        <v>4</v>
      </c>
    </row>
    <row r="105" spans="1:31" ht="15">
      <c r="A105" s="152" t="s">
        <v>568</v>
      </c>
      <c r="J105" s="15"/>
      <c r="T105" s="20"/>
      <c r="Z105" s="21" t="s">
        <v>221</v>
      </c>
      <c r="AA105" s="177">
        <v>513</v>
      </c>
      <c r="AB105" s="177">
        <v>0.06</v>
      </c>
      <c r="AC105" s="177" t="s">
        <v>209</v>
      </c>
      <c r="AD105" s="7" t="s">
        <v>4</v>
      </c>
      <c r="AE105" s="7" t="s">
        <v>4</v>
      </c>
    </row>
    <row r="106" spans="1:31" ht="15">
      <c r="A106" s="4" t="s">
        <v>570</v>
      </c>
      <c r="J106" s="96" t="s">
        <v>93</v>
      </c>
      <c r="M106" s="95"/>
      <c r="T106" s="20"/>
      <c r="Z106" s="21" t="s">
        <v>222</v>
      </c>
      <c r="AA106" s="177">
        <v>513</v>
      </c>
      <c r="AB106" s="177">
        <v>0.06</v>
      </c>
      <c r="AC106" s="177" t="s">
        <v>209</v>
      </c>
      <c r="AD106" s="7" t="s">
        <v>4</v>
      </c>
      <c r="AE106" s="7" t="s">
        <v>4</v>
      </c>
    </row>
    <row r="107" spans="1:31" ht="15">
      <c r="A107" s="4" t="s">
        <v>569</v>
      </c>
      <c r="J107" s="96" t="s">
        <v>94</v>
      </c>
      <c r="K107" s="48">
        <f>(FBST1+ROUND(FOVR1*FMTR1,5))</f>
        <v>4097.871999999999</v>
      </c>
      <c r="L107" s="20"/>
      <c r="M107" s="95"/>
      <c r="T107" s="20"/>
      <c r="Z107" s="21" t="s">
        <v>223</v>
      </c>
      <c r="AA107" s="177">
        <v>513</v>
      </c>
      <c r="AB107" s="177">
        <v>0</v>
      </c>
      <c r="AC107" s="177" t="s">
        <v>159</v>
      </c>
      <c r="AD107" s="7" t="s">
        <v>4</v>
      </c>
      <c r="AE107" s="7" t="s">
        <v>4</v>
      </c>
    </row>
    <row r="108" spans="1:31" ht="15">
      <c r="A108" s="155"/>
      <c r="J108" s="96" t="s">
        <v>95</v>
      </c>
      <c r="K108" s="48">
        <f>(K92+ROUND(K100*FMTR2,5))</f>
        <v>0</v>
      </c>
      <c r="L108" s="20"/>
      <c r="M108" s="95"/>
      <c r="Z108" s="21" t="s">
        <v>224</v>
      </c>
      <c r="AA108" s="177">
        <v>317</v>
      </c>
      <c r="AB108" s="177">
        <v>0.07</v>
      </c>
      <c r="AC108" s="177" t="s">
        <v>208</v>
      </c>
      <c r="AD108" s="7" t="s">
        <v>4</v>
      </c>
      <c r="AE108" s="7" t="s">
        <v>4</v>
      </c>
    </row>
    <row r="109" spans="1:31" ht="15">
      <c r="A109" s="152" t="s">
        <v>430</v>
      </c>
      <c r="J109" s="96" t="s">
        <v>96</v>
      </c>
      <c r="K109" s="48">
        <f>(K93+ROUND(K101*FMTR3,5))</f>
        <v>2592.424</v>
      </c>
      <c r="L109" s="20"/>
      <c r="M109" s="95"/>
      <c r="Z109" s="21" t="s">
        <v>225</v>
      </c>
      <c r="AA109" s="177">
        <v>513</v>
      </c>
      <c r="AB109" s="177">
        <v>0.05</v>
      </c>
      <c r="AC109" s="177" t="s">
        <v>209</v>
      </c>
      <c r="AD109" s="7" t="s">
        <v>4</v>
      </c>
      <c r="AE109" s="7" t="s">
        <v>4</v>
      </c>
    </row>
    <row r="110" spans="1:31" ht="15">
      <c r="A110" s="2" t="s">
        <v>431</v>
      </c>
      <c r="J110" s="96" t="s">
        <v>97</v>
      </c>
      <c r="K110" s="48">
        <f>(K94+ROUND(K102*FMTR4,5))</f>
        <v>4600</v>
      </c>
      <c r="L110" s="20"/>
      <c r="M110" s="95"/>
      <c r="T110" s="20"/>
      <c r="Z110" s="21" t="s">
        <v>503</v>
      </c>
      <c r="AA110" s="177">
        <v>317</v>
      </c>
      <c r="AB110" s="177">
        <v>0.11</v>
      </c>
      <c r="AC110" s="177" t="s">
        <v>208</v>
      </c>
      <c r="AD110" s="179">
        <v>38960</v>
      </c>
      <c r="AE110" s="7" t="s">
        <v>544</v>
      </c>
    </row>
    <row r="111" spans="1:31" ht="15">
      <c r="A111" s="2"/>
      <c r="J111" s="96" t="s">
        <v>98</v>
      </c>
      <c r="K111" s="48">
        <f>(K95+ROUND(K103*FMTR5,5))</f>
        <v>4600</v>
      </c>
      <c r="L111" s="20"/>
      <c r="M111" s="95"/>
      <c r="T111" s="20"/>
      <c r="Z111" s="21" t="s">
        <v>504</v>
      </c>
      <c r="AA111" s="177">
        <v>317</v>
      </c>
      <c r="AB111" s="177">
        <v>0.11</v>
      </c>
      <c r="AC111" s="177" t="s">
        <v>159</v>
      </c>
      <c r="AD111" s="179">
        <v>38960</v>
      </c>
      <c r="AE111" s="7" t="s">
        <v>544</v>
      </c>
    </row>
    <row r="112" spans="1:31" ht="15">
      <c r="A112" s="2" t="s">
        <v>434</v>
      </c>
      <c r="J112" s="96" t="s">
        <v>312</v>
      </c>
      <c r="K112" s="48">
        <f>(K96+ROUND(K104*FMTR6,5))</f>
        <v>4600</v>
      </c>
      <c r="L112" s="20"/>
      <c r="M112" s="95"/>
      <c r="T112" s="20"/>
      <c r="Z112" s="21" t="s">
        <v>226</v>
      </c>
      <c r="AA112" s="177">
        <v>513</v>
      </c>
      <c r="AB112" s="177">
        <v>0.05</v>
      </c>
      <c r="AC112" s="177" t="s">
        <v>209</v>
      </c>
      <c r="AD112" s="7" t="s">
        <v>4</v>
      </c>
      <c r="AE112" s="7" t="s">
        <v>4</v>
      </c>
    </row>
    <row r="113" spans="1:31" ht="15">
      <c r="A113" s="2" t="s">
        <v>435</v>
      </c>
      <c r="J113" s="15"/>
      <c r="T113" s="20"/>
      <c r="Z113" s="21" t="s">
        <v>227</v>
      </c>
      <c r="AA113" s="177">
        <v>0</v>
      </c>
      <c r="AB113" s="177">
        <v>0</v>
      </c>
      <c r="AC113" s="177" t="s">
        <v>209</v>
      </c>
      <c r="AD113" s="7" t="s">
        <v>4</v>
      </c>
      <c r="AE113" s="7" t="s">
        <v>4</v>
      </c>
    </row>
    <row r="114" spans="1:31" ht="15">
      <c r="A114" s="2" t="s">
        <v>571</v>
      </c>
      <c r="J114" s="96" t="s">
        <v>99</v>
      </c>
      <c r="M114" s="95"/>
      <c r="T114" s="20"/>
      <c r="Z114" s="21" t="s">
        <v>228</v>
      </c>
      <c r="AA114" s="177">
        <v>0</v>
      </c>
      <c r="AB114" s="177">
        <v>0</v>
      </c>
      <c r="AC114" s="177" t="s">
        <v>209</v>
      </c>
      <c r="AD114" s="7" t="s">
        <v>4</v>
      </c>
      <c r="AE114" s="7" t="s">
        <v>4</v>
      </c>
    </row>
    <row r="115" spans="1:31" ht="15">
      <c r="A115" s="2"/>
      <c r="J115" s="96" t="s">
        <v>100</v>
      </c>
      <c r="K115" s="14">
        <f>ROUND(FTA1/PAYFACT,2)</f>
        <v>341.49</v>
      </c>
      <c r="L115" s="20"/>
      <c r="M115" s="95"/>
      <c r="T115" s="20"/>
      <c r="Z115" s="21" t="s">
        <v>229</v>
      </c>
      <c r="AA115" s="177">
        <v>513</v>
      </c>
      <c r="AB115" s="177">
        <v>0.05</v>
      </c>
      <c r="AC115" s="177" t="s">
        <v>209</v>
      </c>
      <c r="AD115" s="7" t="s">
        <v>4</v>
      </c>
      <c r="AE115" s="7" t="s">
        <v>4</v>
      </c>
    </row>
    <row r="116" spans="1:31" ht="15">
      <c r="A116" s="2" t="s">
        <v>432</v>
      </c>
      <c r="J116" s="96" t="s">
        <v>101</v>
      </c>
      <c r="K116" s="14">
        <f>ROUND(K108/PAYFACT,2)</f>
        <v>0</v>
      </c>
      <c r="L116" s="20"/>
      <c r="M116" s="95"/>
      <c r="Z116" s="21" t="s">
        <v>505</v>
      </c>
      <c r="AA116" s="177">
        <v>513</v>
      </c>
      <c r="AB116" s="177">
        <v>0.1</v>
      </c>
      <c r="AC116" s="177" t="s">
        <v>209</v>
      </c>
      <c r="AD116" s="179">
        <v>38960</v>
      </c>
      <c r="AE116" s="7" t="s">
        <v>544</v>
      </c>
    </row>
    <row r="117" spans="1:31" ht="15">
      <c r="A117" s="2" t="s">
        <v>433</v>
      </c>
      <c r="J117" s="96" t="s">
        <v>102</v>
      </c>
      <c r="K117" s="14">
        <f>ROUND(K109/PAYFACT,2)</f>
        <v>216.04</v>
      </c>
      <c r="L117" s="20"/>
      <c r="M117" s="95"/>
      <c r="Z117" s="21" t="s">
        <v>230</v>
      </c>
      <c r="AA117" s="177">
        <v>513</v>
      </c>
      <c r="AB117" s="177">
        <v>0.05</v>
      </c>
      <c r="AC117" s="177" t="s">
        <v>209</v>
      </c>
      <c r="AD117" s="7" t="s">
        <v>4</v>
      </c>
      <c r="AE117" s="7" t="s">
        <v>4</v>
      </c>
    </row>
    <row r="118" spans="1:31" ht="15">
      <c r="A118" s="2"/>
      <c r="J118" s="96" t="s">
        <v>103</v>
      </c>
      <c r="K118" s="14">
        <f>ROUND(K110/PAYFACT,2)</f>
        <v>383.33</v>
      </c>
      <c r="L118" s="20"/>
      <c r="M118" s="95"/>
      <c r="Z118" s="21" t="s">
        <v>231</v>
      </c>
      <c r="AA118" s="177">
        <v>0</v>
      </c>
      <c r="AB118" s="177">
        <v>0</v>
      </c>
      <c r="AC118" s="177" t="s">
        <v>209</v>
      </c>
      <c r="AD118" s="7" t="s">
        <v>4</v>
      </c>
      <c r="AE118" s="7" t="s">
        <v>4</v>
      </c>
    </row>
    <row r="119" spans="1:31" ht="15">
      <c r="A119" s="152" t="s">
        <v>410</v>
      </c>
      <c r="J119" s="96" t="s">
        <v>104</v>
      </c>
      <c r="K119" s="14">
        <f>ROUND(K111/PAYFACT,2)</f>
        <v>383.33</v>
      </c>
      <c r="L119" s="20"/>
      <c r="M119" s="95"/>
      <c r="Z119" s="21" t="s">
        <v>521</v>
      </c>
      <c r="AA119" s="177">
        <v>0</v>
      </c>
      <c r="AB119" s="177">
        <v>0</v>
      </c>
      <c r="AC119" s="177" t="s">
        <v>209</v>
      </c>
      <c r="AD119" s="7" t="s">
        <v>4</v>
      </c>
      <c r="AE119" s="7" t="s">
        <v>4</v>
      </c>
    </row>
    <row r="120" spans="1:31" ht="15">
      <c r="A120" s="2"/>
      <c r="J120" s="96" t="s">
        <v>105</v>
      </c>
      <c r="K120" s="14">
        <f>ROUND(K112/PAYFACT,2)</f>
        <v>383.33</v>
      </c>
      <c r="L120" s="20"/>
      <c r="M120" s="95"/>
      <c r="T120" s="20"/>
      <c r="Z120" s="21" t="s">
        <v>232</v>
      </c>
      <c r="AA120" s="177">
        <v>513</v>
      </c>
      <c r="AB120" s="177">
        <v>0.06</v>
      </c>
      <c r="AC120" s="177" t="s">
        <v>208</v>
      </c>
      <c r="AD120" s="7" t="s">
        <v>4</v>
      </c>
      <c r="AE120" s="7" t="s">
        <v>4</v>
      </c>
    </row>
    <row r="121" spans="1:31" ht="15">
      <c r="A121" s="152" t="s">
        <v>372</v>
      </c>
      <c r="J121" s="15"/>
      <c r="T121" s="20"/>
      <c r="Z121" s="21" t="s">
        <v>233</v>
      </c>
      <c r="AA121" s="177">
        <v>513</v>
      </c>
      <c r="AB121" s="177">
        <v>0.06</v>
      </c>
      <c r="AC121" s="177" t="s">
        <v>159</v>
      </c>
      <c r="AD121" s="7" t="s">
        <v>4</v>
      </c>
      <c r="AE121" s="7" t="s">
        <v>4</v>
      </c>
    </row>
    <row r="122" spans="1:31" ht="15">
      <c r="A122" s="2"/>
      <c r="J122" s="96" t="s">
        <v>106</v>
      </c>
      <c r="M122" s="95"/>
      <c r="T122" s="20"/>
      <c r="Z122" s="21" t="s">
        <v>234</v>
      </c>
      <c r="AA122" s="177">
        <v>513</v>
      </c>
      <c r="AB122" s="177">
        <v>0.08</v>
      </c>
      <c r="AC122" s="177" t="s">
        <v>208</v>
      </c>
      <c r="AD122" s="7" t="s">
        <v>4</v>
      </c>
      <c r="AE122" s="7" t="s">
        <v>4</v>
      </c>
    </row>
    <row r="123" spans="1:31" ht="15">
      <c r="A123" s="2" t="s">
        <v>411</v>
      </c>
      <c r="J123" s="96" t="s">
        <v>107</v>
      </c>
      <c r="K123" s="14">
        <f>IF(STM="S",LIES1,IF(AND(STM="M",STE&lt;2),LIEM1,IF(AND(STM="M",STE&gt;=2),LIEM2,IF(STM="H",LIEH1,99999))))</f>
        <v>11130</v>
      </c>
      <c r="L123" s="20"/>
      <c r="M123" s="95"/>
      <c r="T123" s="20"/>
      <c r="Z123" s="21" t="s">
        <v>235</v>
      </c>
      <c r="AA123" s="177">
        <v>513</v>
      </c>
      <c r="AB123" s="177">
        <v>0.08</v>
      </c>
      <c r="AC123" s="177" t="s">
        <v>159</v>
      </c>
      <c r="AD123" s="7" t="s">
        <v>4</v>
      </c>
      <c r="AE123" s="7" t="s">
        <v>4</v>
      </c>
    </row>
    <row r="124" spans="1:31" ht="15">
      <c r="A124" s="2"/>
      <c r="J124" s="96" t="s">
        <v>468</v>
      </c>
      <c r="K124" s="14">
        <f>(STA*SADDALL1)</f>
        <v>0</v>
      </c>
      <c r="L124" s="20"/>
      <c r="M124" s="95"/>
      <c r="T124" s="20"/>
      <c r="Z124" s="21" t="s">
        <v>236</v>
      </c>
      <c r="AA124" s="177">
        <v>513</v>
      </c>
      <c r="AB124" s="177">
        <v>0.08</v>
      </c>
      <c r="AC124" s="177" t="s">
        <v>208</v>
      </c>
      <c r="AD124" s="7" t="s">
        <v>4</v>
      </c>
      <c r="AE124" s="7" t="s">
        <v>4</v>
      </c>
    </row>
    <row r="125" spans="1:31" ht="15">
      <c r="A125" s="2" t="s">
        <v>349</v>
      </c>
      <c r="J125" s="96" t="s">
        <v>469</v>
      </c>
      <c r="K125" s="14">
        <f>IF(STM="S",SDS1,IF(AND(STM="M",STE&lt;2),SDM1,IF(AND(STM="M",STE&gt;=2),SDM2,IF(STM="H",SDH1,0))))</f>
        <v>3637</v>
      </c>
      <c r="L125" s="20"/>
      <c r="M125" s="95"/>
      <c r="T125" s="20"/>
      <c r="Z125" s="21" t="s">
        <v>237</v>
      </c>
      <c r="AA125" s="177">
        <v>513</v>
      </c>
      <c r="AB125" s="177">
        <v>0.08</v>
      </c>
      <c r="AC125" s="177" t="s">
        <v>159</v>
      </c>
      <c r="AD125" s="7" t="s">
        <v>4</v>
      </c>
      <c r="AE125" s="7" t="s">
        <v>4</v>
      </c>
    </row>
    <row r="126" spans="1:31" ht="15">
      <c r="A126" s="2"/>
      <c r="J126" s="96" t="s">
        <v>108</v>
      </c>
      <c r="K126" s="14">
        <f>IF(AND(B14="S",D14=0),AK60,IF(AND(B14="S",D14=1),AL60,IF(AND(B14="S",D14&gt;=2),AM60,IF(AND(B14="M",D14=0),AK61,IF(OR(AND(B14="M",B14="H"),D14=1),AL61,IF(OR(AND(B14="M",B14="H"),D14&gt;=2),AM61,0))))))</f>
        <v>0</v>
      </c>
      <c r="L126" s="20"/>
      <c r="M126" s="95"/>
      <c r="T126" s="20"/>
      <c r="Z126" s="21" t="s">
        <v>238</v>
      </c>
      <c r="AA126" s="177">
        <v>513</v>
      </c>
      <c r="AB126" s="177">
        <v>0.08</v>
      </c>
      <c r="AC126" s="177" t="s">
        <v>208</v>
      </c>
      <c r="AD126" s="7" t="s">
        <v>4</v>
      </c>
      <c r="AE126" s="7" t="s">
        <v>4</v>
      </c>
    </row>
    <row r="127" spans="1:31" ht="15">
      <c r="A127" s="2" t="s">
        <v>376</v>
      </c>
      <c r="J127" s="96" t="s">
        <v>470</v>
      </c>
      <c r="K127" s="14">
        <f>IF(STE&lt;3,0,STE-2)</f>
        <v>0</v>
      </c>
      <c r="L127" s="20"/>
      <c r="M127" s="95"/>
      <c r="Z127" s="21" t="s">
        <v>239</v>
      </c>
      <c r="AA127" s="177">
        <v>513</v>
      </c>
      <c r="AB127" s="177">
        <v>0.08</v>
      </c>
      <c r="AC127" s="177" t="s">
        <v>159</v>
      </c>
      <c r="AD127" s="7" t="s">
        <v>4</v>
      </c>
      <c r="AE127" s="7" t="s">
        <v>4</v>
      </c>
    </row>
    <row r="128" spans="10:31" ht="12.75">
      <c r="J128" s="96" t="s">
        <v>109</v>
      </c>
      <c r="K128" s="14">
        <f>IF(STM="S",TCRS3,TCRM3)</f>
        <v>107.8</v>
      </c>
      <c r="L128" s="20"/>
      <c r="M128" s="95"/>
      <c r="T128" s="20"/>
      <c r="Z128" s="21" t="s">
        <v>240</v>
      </c>
      <c r="AA128" s="177">
        <v>863</v>
      </c>
      <c r="AB128" s="177">
        <v>0.08</v>
      </c>
      <c r="AC128" s="177" t="s">
        <v>208</v>
      </c>
      <c r="AD128" s="7" t="s">
        <v>4</v>
      </c>
      <c r="AE128" s="7" t="s">
        <v>4</v>
      </c>
    </row>
    <row r="129" spans="10:31" ht="12.75">
      <c r="J129" s="96" t="s">
        <v>110</v>
      </c>
      <c r="K129" s="14">
        <f>(TXCRB+(TXCROV*TXCRR))</f>
        <v>0</v>
      </c>
      <c r="L129" s="20"/>
      <c r="M129" s="95"/>
      <c r="T129" s="20"/>
      <c r="Z129" s="21" t="s">
        <v>241</v>
      </c>
      <c r="AA129" s="177">
        <v>863</v>
      </c>
      <c r="AB129" s="177">
        <v>0.08</v>
      </c>
      <c r="AC129" s="177" t="s">
        <v>159</v>
      </c>
      <c r="AD129" s="7" t="s">
        <v>4</v>
      </c>
      <c r="AE129" s="7" t="s">
        <v>4</v>
      </c>
    </row>
    <row r="130" spans="10:31" ht="12.75">
      <c r="J130" s="96"/>
      <c r="L130" s="20"/>
      <c r="M130" s="95"/>
      <c r="T130" s="20"/>
      <c r="Z130" s="21" t="s">
        <v>242</v>
      </c>
      <c r="AA130" s="177">
        <v>513</v>
      </c>
      <c r="AB130" s="177">
        <v>0.06</v>
      </c>
      <c r="AC130" s="177" t="s">
        <v>208</v>
      </c>
      <c r="AD130" s="7" t="s">
        <v>4</v>
      </c>
      <c r="AE130" s="7" t="s">
        <v>4</v>
      </c>
    </row>
    <row r="131" spans="10:31" ht="12.75">
      <c r="J131" s="96" t="s">
        <v>111</v>
      </c>
      <c r="M131" s="95"/>
      <c r="T131" s="20"/>
      <c r="Z131" s="21" t="s">
        <v>243</v>
      </c>
      <c r="AA131" s="177">
        <v>513</v>
      </c>
      <c r="AB131" s="177">
        <v>0.06</v>
      </c>
      <c r="AC131" s="177" t="s">
        <v>159</v>
      </c>
      <c r="AD131" s="7" t="s">
        <v>4</v>
      </c>
      <c r="AE131" s="7" t="s">
        <v>4</v>
      </c>
    </row>
    <row r="132" spans="10:31" ht="12.75">
      <c r="J132" s="96" t="s">
        <v>112</v>
      </c>
      <c r="K132" s="14">
        <f>IF((PAYFACT*TG1)-ADDALLOW1-SDED1&lt;=0,0,(PAYFACT*TG1)-ADDALLOW1-SDED1)</f>
        <v>41015.479999999996</v>
      </c>
      <c r="L132" s="20"/>
      <c r="M132" s="95"/>
      <c r="T132" s="20"/>
      <c r="Z132" s="21" t="s">
        <v>244</v>
      </c>
      <c r="AA132" s="177">
        <v>317</v>
      </c>
      <c r="AB132" s="177">
        <v>0.07</v>
      </c>
      <c r="AC132" s="177" t="s">
        <v>159</v>
      </c>
      <c r="AD132" s="7" t="s">
        <v>4</v>
      </c>
      <c r="AE132" s="7" t="s">
        <v>4</v>
      </c>
    </row>
    <row r="133" spans="10:31" ht="12.75">
      <c r="J133" s="96" t="s">
        <v>113</v>
      </c>
      <c r="K133" s="14">
        <f>IF((PAYFACT*TG2)-ADDALLOW1-SDED1&lt;=0,0,(PAYFACT*TG2)-ADDALLOW1-SDED1)</f>
        <v>726.6800000000003</v>
      </c>
      <c r="L133" s="20"/>
      <c r="M133" s="95"/>
      <c r="T133" s="20"/>
      <c r="Z133" s="21" t="s">
        <v>245</v>
      </c>
      <c r="AA133" s="177">
        <v>317</v>
      </c>
      <c r="AB133" s="177">
        <v>0.07</v>
      </c>
      <c r="AC133" s="177" t="s">
        <v>208</v>
      </c>
      <c r="AD133" s="7" t="s">
        <v>4</v>
      </c>
      <c r="AE133" s="7" t="s">
        <v>4</v>
      </c>
    </row>
    <row r="134" spans="10:31" ht="12.75">
      <c r="J134" s="96" t="s">
        <v>114</v>
      </c>
      <c r="K134" s="14">
        <f>IF((PAYFACT*TG3)-ADDALLOW1-SDED1&lt;=0,0,(PAYFACT*TG3)-ADDALLOW1-SDED1)</f>
        <v>30979.159999999996</v>
      </c>
      <c r="L134" s="20"/>
      <c r="M134" s="95"/>
      <c r="Z134" s="21" t="s">
        <v>246</v>
      </c>
      <c r="AA134" s="177">
        <v>317</v>
      </c>
      <c r="AB134" s="177">
        <v>0.07</v>
      </c>
      <c r="AC134" s="177" t="s">
        <v>159</v>
      </c>
      <c r="AD134" s="7" t="s">
        <v>4</v>
      </c>
      <c r="AE134" s="7" t="s">
        <v>4</v>
      </c>
    </row>
    <row r="135" spans="10:31" ht="12.75">
      <c r="J135" s="96" t="s">
        <v>115</v>
      </c>
      <c r="K135" s="14">
        <f>IF((PAYFACT*TG4)-ADDALLOW1-SDED1&lt;=0,0,(PAYFACT*TG4)-ADDALLOW1-SDED1)</f>
        <v>44363</v>
      </c>
      <c r="L135" s="20"/>
      <c r="M135" s="95"/>
      <c r="Z135" s="21" t="s">
        <v>247</v>
      </c>
      <c r="AA135" s="177">
        <v>317</v>
      </c>
      <c r="AB135" s="177">
        <v>0.07</v>
      </c>
      <c r="AC135" s="177" t="s">
        <v>208</v>
      </c>
      <c r="AD135" s="7" t="s">
        <v>4</v>
      </c>
      <c r="AE135" s="7" t="s">
        <v>4</v>
      </c>
    </row>
    <row r="136" spans="10:31" ht="12.75">
      <c r="J136" s="96" t="s">
        <v>116</v>
      </c>
      <c r="K136" s="14">
        <f>IF((PAYFACT*TG5)-ADDALLOW1-SDED1&lt;=0,0,(PAYFACT*TG5)-ADDALLOW1-SDED1)</f>
        <v>44363</v>
      </c>
      <c r="L136" s="20"/>
      <c r="M136" s="95"/>
      <c r="T136" s="20"/>
      <c r="Z136" s="21" t="s">
        <v>248</v>
      </c>
      <c r="AA136" s="177">
        <v>317</v>
      </c>
      <c r="AB136" s="177">
        <v>0.06</v>
      </c>
      <c r="AC136" s="177" t="s">
        <v>159</v>
      </c>
      <c r="AD136" s="7" t="s">
        <v>4</v>
      </c>
      <c r="AE136" s="7" t="s">
        <v>4</v>
      </c>
    </row>
    <row r="137" spans="10:31" ht="12.75">
      <c r="J137" s="96" t="s">
        <v>117</v>
      </c>
      <c r="K137" s="14">
        <f>IF((PAYFACT*TG6)-ADDALLOW1-SDED1&lt;=0,0,(PAYFACT*TG6)-ADDALLOW1-SDED1)</f>
        <v>44363</v>
      </c>
      <c r="L137" s="20"/>
      <c r="M137" s="95"/>
      <c r="T137" s="20"/>
      <c r="Z137" s="21" t="s">
        <v>249</v>
      </c>
      <c r="AA137" s="177">
        <v>317</v>
      </c>
      <c r="AB137" s="177">
        <v>0.06</v>
      </c>
      <c r="AC137" s="177" t="s">
        <v>208</v>
      </c>
      <c r="AD137" s="7" t="s">
        <v>4</v>
      </c>
      <c r="AE137" s="7" t="s">
        <v>4</v>
      </c>
    </row>
    <row r="138" spans="10:31" ht="12.75">
      <c r="J138" s="15"/>
      <c r="T138" s="20"/>
      <c r="Z138" s="21" t="s">
        <v>250</v>
      </c>
      <c r="AA138" s="177">
        <v>863</v>
      </c>
      <c r="AB138" s="177">
        <v>0</v>
      </c>
      <c r="AC138" s="177" t="s">
        <v>208</v>
      </c>
      <c r="AD138" s="7" t="s">
        <v>4</v>
      </c>
      <c r="AE138" s="7" t="s">
        <v>4</v>
      </c>
    </row>
    <row r="139" spans="10:31" ht="12.75">
      <c r="J139" s="96" t="s">
        <v>118</v>
      </c>
      <c r="M139" s="95"/>
      <c r="T139" s="20"/>
      <c r="Z139" s="21" t="s">
        <v>506</v>
      </c>
      <c r="AA139" s="177">
        <v>863</v>
      </c>
      <c r="AB139" s="177">
        <v>0.08</v>
      </c>
      <c r="AC139" s="177" t="s">
        <v>159</v>
      </c>
      <c r="AD139" s="7" t="s">
        <v>4</v>
      </c>
      <c r="AE139" s="7" t="s">
        <v>4</v>
      </c>
    </row>
    <row r="140" spans="10:31" ht="12.75">
      <c r="J140" s="96" t="s">
        <v>119</v>
      </c>
      <c r="K140" s="14">
        <f>IF(STM="S",VLOOKUP(STG1,STXTBLS1,1),IF(STM="M",VLOOKUP(STG1,STXTBLM1,1),IF(STM="H",VLOOKUP(STG1,STXTBLH1,1),0)))</f>
        <v>33478</v>
      </c>
      <c r="L140" s="20"/>
      <c r="M140" s="95"/>
      <c r="T140" s="20"/>
      <c r="Z140" s="21" t="s">
        <v>507</v>
      </c>
      <c r="AA140" s="177">
        <v>863</v>
      </c>
      <c r="AB140" s="177">
        <v>0.08</v>
      </c>
      <c r="AC140" s="177" t="s">
        <v>208</v>
      </c>
      <c r="AD140" s="7" t="s">
        <v>4</v>
      </c>
      <c r="AE140" s="7" t="s">
        <v>4</v>
      </c>
    </row>
    <row r="141" spans="10:31" ht="12.75">
      <c r="J141" s="96" t="s">
        <v>120</v>
      </c>
      <c r="K141" s="14">
        <f>IF(STM="S",VLOOKUP(K133,STXTBLS1,1),IF(STM="M",VLOOKUP(K133,STXTBLM1,1),IF(STM="H",VLOOKUP(K133,STXTBLH1,1),0)))</f>
        <v>0</v>
      </c>
      <c r="L141" s="20"/>
      <c r="M141" s="95"/>
      <c r="T141" s="20"/>
      <c r="Z141" s="21" t="s">
        <v>251</v>
      </c>
      <c r="AA141" s="177">
        <v>513</v>
      </c>
      <c r="AB141" s="177">
        <v>0.06</v>
      </c>
      <c r="AC141" s="177" t="s">
        <v>209</v>
      </c>
      <c r="AD141" s="7" t="s">
        <v>4</v>
      </c>
      <c r="AE141" s="7" t="s">
        <v>4</v>
      </c>
    </row>
    <row r="142" spans="10:31" ht="12.75">
      <c r="J142" s="96" t="s">
        <v>461</v>
      </c>
      <c r="K142" s="14">
        <f>IF(STM="S",VLOOKUP(K134,STXTBLS1,1),IF(STM="M",VLOOKUP(K134,STXTBLM1,1),IF(STM="H",VLOOKUP(K134,STXTBLH1,1),0)))</f>
        <v>14120</v>
      </c>
      <c r="L142" s="20"/>
      <c r="M142" s="95"/>
      <c r="Z142" s="21" t="s">
        <v>252</v>
      </c>
      <c r="AA142" s="177">
        <v>513</v>
      </c>
      <c r="AB142" s="177">
        <v>0.06</v>
      </c>
      <c r="AC142" s="177" t="s">
        <v>209</v>
      </c>
      <c r="AD142" s="7" t="s">
        <v>4</v>
      </c>
      <c r="AE142" s="7" t="s">
        <v>4</v>
      </c>
    </row>
    <row r="143" spans="10:31" ht="12.75">
      <c r="J143" s="96" t="s">
        <v>462</v>
      </c>
      <c r="K143" s="14">
        <f>IF(STM="S",VLOOKUP(K135,STXTBLS1,1),IF(STM="M",VLOOKUP(K135,STXTBLM1,1),IF(STM="H",VLOOKUP(K135,STXTBLH1,1),0)))</f>
        <v>33478</v>
      </c>
      <c r="L143" s="20"/>
      <c r="M143" s="95"/>
      <c r="Z143" s="21" t="s">
        <v>253</v>
      </c>
      <c r="AA143" s="177">
        <v>513</v>
      </c>
      <c r="AB143" s="177">
        <v>0.05</v>
      </c>
      <c r="AC143" s="177" t="s">
        <v>209</v>
      </c>
      <c r="AD143" s="7" t="s">
        <v>4</v>
      </c>
      <c r="AE143" s="7" t="s">
        <v>4</v>
      </c>
    </row>
    <row r="144" spans="10:31" ht="12.75">
      <c r="J144" s="96" t="s">
        <v>463</v>
      </c>
      <c r="K144" s="14">
        <f>IF(STM="S",VLOOKUP(K136,STXTBLS1,1),IF(STM="M",VLOOKUP(K136,STXTBLM1,1),IF(STM="H",VLOOKUP(K136,STXTBLH1,1),0)))</f>
        <v>33478</v>
      </c>
      <c r="L144" s="20"/>
      <c r="M144" s="95"/>
      <c r="T144" s="20"/>
      <c r="Z144" s="21" t="s">
        <v>254</v>
      </c>
      <c r="AA144" s="177">
        <v>0</v>
      </c>
      <c r="AB144" s="177">
        <v>0</v>
      </c>
      <c r="AC144" s="177" t="s">
        <v>209</v>
      </c>
      <c r="AD144" s="7" t="s">
        <v>4</v>
      </c>
      <c r="AE144" s="7" t="s">
        <v>4</v>
      </c>
    </row>
    <row r="145" spans="10:31" ht="12.75">
      <c r="J145" s="96" t="s">
        <v>464</v>
      </c>
      <c r="K145" s="14">
        <f>IF(STM="S",VLOOKUP(K137,STXTBLS1,1),IF(STM="M",VLOOKUP(K137,STXTBLM1,1),IF(STM="H",VLOOKUP(K137,STXTBLH1,1),0)))</f>
        <v>33478</v>
      </c>
      <c r="L145" s="20"/>
      <c r="M145" s="95"/>
      <c r="T145" s="20"/>
      <c r="Z145" s="21" t="s">
        <v>508</v>
      </c>
      <c r="AA145" s="177">
        <v>317</v>
      </c>
      <c r="AB145" s="177">
        <v>0.11</v>
      </c>
      <c r="AC145" s="177" t="s">
        <v>208</v>
      </c>
      <c r="AD145" s="179">
        <v>38960</v>
      </c>
      <c r="AE145" s="7" t="s">
        <v>544</v>
      </c>
    </row>
    <row r="146" spans="10:31" ht="12.75">
      <c r="J146" s="15"/>
      <c r="T146" s="20"/>
      <c r="Z146" s="21" t="s">
        <v>509</v>
      </c>
      <c r="AA146" s="177">
        <v>317</v>
      </c>
      <c r="AB146" s="177">
        <v>0.11</v>
      </c>
      <c r="AC146" s="177" t="s">
        <v>159</v>
      </c>
      <c r="AD146" s="179">
        <v>38960</v>
      </c>
      <c r="AE146" s="7" t="s">
        <v>544</v>
      </c>
    </row>
    <row r="147" spans="10:31" ht="12.75">
      <c r="J147" s="96" t="s">
        <v>121</v>
      </c>
      <c r="M147" s="95"/>
      <c r="T147" s="20"/>
      <c r="Z147" s="21" t="s">
        <v>510</v>
      </c>
      <c r="AA147" s="177">
        <v>513</v>
      </c>
      <c r="AB147" s="177">
        <v>0.1</v>
      </c>
      <c r="AC147" s="177" t="s">
        <v>209</v>
      </c>
      <c r="AD147" s="179">
        <v>38960</v>
      </c>
      <c r="AE147" s="7" t="s">
        <v>544</v>
      </c>
    </row>
    <row r="148" spans="10:31" ht="12.75">
      <c r="J148" s="96" t="s">
        <v>122</v>
      </c>
      <c r="K148" s="48">
        <f>IF(STM="S",VLOOKUP(STG1,STXTBLS1,2),IF(STM="M",VLOOKUP(STG1,STXTBLM1,2),IF(STM="H",VLOOKUP(STG1,STXTBLH1,2),0)))</f>
        <v>0.04675</v>
      </c>
      <c r="L148" s="20"/>
      <c r="M148" s="95"/>
      <c r="N148" s="150"/>
      <c r="T148" s="20"/>
      <c r="Z148" s="21" t="s">
        <v>511</v>
      </c>
      <c r="AA148" s="177">
        <v>317</v>
      </c>
      <c r="AB148" s="177">
        <v>0.11</v>
      </c>
      <c r="AC148" s="177" t="s">
        <v>208</v>
      </c>
      <c r="AD148" s="179">
        <v>38960</v>
      </c>
      <c r="AE148" s="7" t="s">
        <v>544</v>
      </c>
    </row>
    <row r="149" spans="10:31" ht="12.75">
      <c r="J149" s="96" t="s">
        <v>123</v>
      </c>
      <c r="K149" s="48">
        <f>IF(STM="S",VLOOKUP(K133,STXTBLS1,2),IF(STM="M",VLOOKUP(K133,STXTBLM1,2),IF(STM="H",VLOOKUP(K133,STXTBLH1,2),0)))</f>
        <v>0.01375</v>
      </c>
      <c r="L149" s="20"/>
      <c r="M149" s="95"/>
      <c r="N149" s="150"/>
      <c r="T149" s="20"/>
      <c r="Z149" s="21" t="s">
        <v>512</v>
      </c>
      <c r="AA149" s="177">
        <v>317</v>
      </c>
      <c r="AB149" s="177">
        <v>0.11</v>
      </c>
      <c r="AC149" s="177" t="s">
        <v>159</v>
      </c>
      <c r="AD149" s="179">
        <v>38960</v>
      </c>
      <c r="AE149" s="7" t="s">
        <v>544</v>
      </c>
    </row>
    <row r="150" spans="10:31" ht="12.75">
      <c r="J150" s="96" t="s">
        <v>124</v>
      </c>
      <c r="K150" s="48">
        <f>IF(STM="S",VLOOKUP(K134,STXTBLS1,2),IF(STM="M",VLOOKUP(K134,STXTBLM1,2),IF(STM="H",VLOOKUP(K134,STXTBLH1,2),0)))</f>
        <v>0.02475</v>
      </c>
      <c r="L150" s="20"/>
      <c r="M150" s="95"/>
      <c r="N150" s="150"/>
      <c r="Z150" s="21" t="s">
        <v>513</v>
      </c>
      <c r="AA150" s="177">
        <v>513</v>
      </c>
      <c r="AB150" s="177">
        <v>0.1</v>
      </c>
      <c r="AC150" s="177" t="s">
        <v>209</v>
      </c>
      <c r="AD150" s="179">
        <v>38960</v>
      </c>
      <c r="AE150" s="7" t="s">
        <v>544</v>
      </c>
    </row>
    <row r="151" spans="10:31" ht="12.75">
      <c r="J151" s="96" t="s">
        <v>125</v>
      </c>
      <c r="K151" s="48">
        <f>IF(STM="S",VLOOKUP(K135,STXTBLS1,2),IF(STM="M",VLOOKUP(K135,STXTBLM1,2),IF(STM="H",VLOOKUP(K135,STXTBLH1,2),0)))</f>
        <v>0.04675</v>
      </c>
      <c r="L151" s="20"/>
      <c r="M151" s="95"/>
      <c r="N151" s="150"/>
      <c r="Z151" s="21" t="s">
        <v>514</v>
      </c>
      <c r="AA151" s="177">
        <v>513</v>
      </c>
      <c r="AB151" s="177">
        <v>0.1</v>
      </c>
      <c r="AC151" s="177" t="s">
        <v>209</v>
      </c>
      <c r="AD151" s="179">
        <v>38960</v>
      </c>
      <c r="AE151" s="7" t="s">
        <v>544</v>
      </c>
    </row>
    <row r="152" spans="10:31" ht="12.75">
      <c r="J152" s="96" t="s">
        <v>126</v>
      </c>
      <c r="K152" s="48">
        <f>IF(STM="S",VLOOKUP(K136,STXTBLS1,2),IF(STM="M",VLOOKUP(K136,STXTBLM1,2),IF(STM="H",VLOOKUP(K136,STXTBLH1,2),0)))</f>
        <v>0.04675</v>
      </c>
      <c r="L152" s="20"/>
      <c r="M152" s="95"/>
      <c r="N152" s="150"/>
      <c r="T152" s="20"/>
      <c r="Z152" s="21" t="s">
        <v>539</v>
      </c>
      <c r="AA152" s="177">
        <v>513</v>
      </c>
      <c r="AB152" s="177">
        <v>0.08</v>
      </c>
      <c r="AC152" s="177" t="s">
        <v>209</v>
      </c>
      <c r="AD152" s="179">
        <v>39022</v>
      </c>
      <c r="AE152" s="7" t="s">
        <v>545</v>
      </c>
    </row>
    <row r="153" spans="10:31" ht="12.75">
      <c r="J153" s="96" t="s">
        <v>127</v>
      </c>
      <c r="K153" s="48">
        <f>IF(STM="S",VLOOKUP(K137,STXTBLS1,2),IF(STM="M",VLOOKUP(K137,STXTBLM1,2),IF(STM="H",VLOOKUP(K137,STXTBLH1,2),0)))</f>
        <v>0.04675</v>
      </c>
      <c r="L153" s="20"/>
      <c r="M153" s="95"/>
      <c r="N153" s="150"/>
      <c r="T153" s="20"/>
      <c r="Z153" s="21" t="s">
        <v>537</v>
      </c>
      <c r="AA153" s="177">
        <v>317</v>
      </c>
      <c r="AB153" s="177">
        <v>0.09</v>
      </c>
      <c r="AC153" s="177" t="s">
        <v>208</v>
      </c>
      <c r="AD153" s="179">
        <v>39022</v>
      </c>
      <c r="AE153" s="7" t="s">
        <v>545</v>
      </c>
    </row>
    <row r="154" spans="10:31" ht="12.75">
      <c r="J154" s="15"/>
      <c r="T154" s="20"/>
      <c r="Z154" s="21" t="s">
        <v>538</v>
      </c>
      <c r="AA154" s="177">
        <v>317</v>
      </c>
      <c r="AB154" s="177">
        <v>0.09</v>
      </c>
      <c r="AC154" s="177" t="s">
        <v>159</v>
      </c>
      <c r="AD154" s="179">
        <v>39022</v>
      </c>
      <c r="AE154" s="7" t="s">
        <v>545</v>
      </c>
    </row>
    <row r="155" spans="10:31" ht="12.75">
      <c r="J155" s="96" t="s">
        <v>128</v>
      </c>
      <c r="M155" s="95"/>
      <c r="T155" s="20"/>
      <c r="Z155" s="21" t="s">
        <v>540</v>
      </c>
      <c r="AA155" s="177">
        <v>513</v>
      </c>
      <c r="AB155" s="177">
        <v>0.08</v>
      </c>
      <c r="AC155" s="177" t="s">
        <v>209</v>
      </c>
      <c r="AD155" s="179">
        <v>39022</v>
      </c>
      <c r="AE155" s="7" t="s">
        <v>545</v>
      </c>
    </row>
    <row r="156" spans="10:31" ht="12.75">
      <c r="J156" s="96" t="s">
        <v>129</v>
      </c>
      <c r="K156" s="14">
        <f>IF(STM="S",VLOOKUP(STG1,STXTBLS1,3),IF(STM="M",VLOOKUP(STG1,STXTBLM1,3),IF(STM="H",VLOOKUP(STG1,STXTBLH1,3),0)))</f>
        <v>673.26</v>
      </c>
      <c r="L156" s="20"/>
      <c r="M156" s="95"/>
      <c r="T156" s="20"/>
      <c r="Z156" s="21" t="s">
        <v>473</v>
      </c>
      <c r="AA156" s="177">
        <v>513</v>
      </c>
      <c r="AB156" s="177">
        <v>0.1</v>
      </c>
      <c r="AC156" s="177" t="s">
        <v>209</v>
      </c>
      <c r="AD156" s="179">
        <v>38960</v>
      </c>
      <c r="AE156" s="7" t="s">
        <v>544</v>
      </c>
    </row>
    <row r="157" spans="10:31" ht="12.75">
      <c r="J157" s="96" t="s">
        <v>130</v>
      </c>
      <c r="K157" s="14">
        <f>IF(STM="S",VLOOKUP(K133,STXTBLS1,3),IF(STM="M",VLOOKUP(K133,STXTBLM1,3),IF(STM="H",VLOOKUP(K133,STXTBLH1,3),0)))</f>
        <v>0</v>
      </c>
      <c r="L157" s="20"/>
      <c r="M157" s="95"/>
      <c r="T157" s="20"/>
      <c r="Z157" s="21" t="s">
        <v>474</v>
      </c>
      <c r="AA157" s="177">
        <v>513</v>
      </c>
      <c r="AB157" s="177">
        <v>0.1</v>
      </c>
      <c r="AC157" s="177" t="s">
        <v>209</v>
      </c>
      <c r="AD157" s="179">
        <v>38960</v>
      </c>
      <c r="AE157" s="7" t="s">
        <v>544</v>
      </c>
    </row>
    <row r="158" spans="10:31" ht="12.75">
      <c r="J158" s="96" t="s">
        <v>131</v>
      </c>
      <c r="K158" s="14">
        <f>IF(STM="S",VLOOKUP(K134,STXTBLS1,3),IF(STM="M",VLOOKUP(K134,STXTBLM1,3),IF(STM="H",VLOOKUP(K134,STXTBLH1,3),0)))</f>
        <v>194.15</v>
      </c>
      <c r="L158" s="20"/>
      <c r="M158" s="95"/>
      <c r="Z158" s="21" t="s">
        <v>475</v>
      </c>
      <c r="AA158" s="177">
        <v>513</v>
      </c>
      <c r="AB158" s="177">
        <v>0.1</v>
      </c>
      <c r="AC158" s="177" t="s">
        <v>209</v>
      </c>
      <c r="AD158" s="179">
        <v>38960</v>
      </c>
      <c r="AE158" s="7" t="s">
        <v>544</v>
      </c>
    </row>
    <row r="159" spans="10:31" ht="12.75">
      <c r="J159" s="96" t="s">
        <v>132</v>
      </c>
      <c r="K159" s="14">
        <f>IF(STM="S",VLOOKUP(K135,STXTBLS1,3),IF(STM="M",VLOOKUP(K135,STXTBLM1,3),IF(STM="H",VLOOKUP(K135,STXTBLH1,3),0)))</f>
        <v>673.26</v>
      </c>
      <c r="L159" s="20"/>
      <c r="M159" s="95"/>
      <c r="Z159" s="21" t="s">
        <v>476</v>
      </c>
      <c r="AA159" s="177">
        <v>513</v>
      </c>
      <c r="AB159" s="177">
        <v>0.1</v>
      </c>
      <c r="AC159" s="177" t="s">
        <v>209</v>
      </c>
      <c r="AD159" s="179">
        <v>38960</v>
      </c>
      <c r="AE159" s="7" t="s">
        <v>544</v>
      </c>
    </row>
    <row r="160" spans="10:31" ht="12.75">
      <c r="J160" s="96" t="s">
        <v>133</v>
      </c>
      <c r="K160" s="14">
        <f>IF(STM="S",VLOOKUP(K136,STXTBLS1,3),IF(STM="M",VLOOKUP(K136,STXTBLM1,3),IF(STM="H",VLOOKUP(K136,STXTBLH1,3),0)))</f>
        <v>673.26</v>
      </c>
      <c r="L160" s="20"/>
      <c r="M160" s="95"/>
      <c r="T160" s="20"/>
      <c r="Z160" s="21" t="s">
        <v>477</v>
      </c>
      <c r="AA160" s="177">
        <v>513</v>
      </c>
      <c r="AB160" s="177">
        <v>0.1</v>
      </c>
      <c r="AC160" s="177" t="s">
        <v>209</v>
      </c>
      <c r="AD160" s="179">
        <v>38960</v>
      </c>
      <c r="AE160" s="7" t="s">
        <v>544</v>
      </c>
    </row>
    <row r="161" spans="10:31" ht="12.75">
      <c r="J161" s="96" t="s">
        <v>134</v>
      </c>
      <c r="K161" s="14">
        <f>IF(STM="S",VLOOKUP(K137,STXTBLS1,3),IF(STM="M",VLOOKUP(K137,STXTBLM1,3),IF(STM="H",VLOOKUP(K137,STXTBLH1,3),0)))</f>
        <v>673.26</v>
      </c>
      <c r="L161" s="20"/>
      <c r="M161" s="95"/>
      <c r="T161" s="20"/>
      <c r="Z161" s="21" t="s">
        <v>478</v>
      </c>
      <c r="AA161" s="177">
        <v>513</v>
      </c>
      <c r="AB161" s="177">
        <v>0.1</v>
      </c>
      <c r="AC161" s="177" t="s">
        <v>209</v>
      </c>
      <c r="AD161" s="179">
        <v>38960</v>
      </c>
      <c r="AE161" s="7" t="s">
        <v>544</v>
      </c>
    </row>
    <row r="162" spans="10:31" ht="12.75">
      <c r="J162" s="15"/>
      <c r="T162" s="20"/>
      <c r="Z162" s="21" t="s">
        <v>479</v>
      </c>
      <c r="AA162" s="177">
        <v>513</v>
      </c>
      <c r="AB162" s="177">
        <v>0.1</v>
      </c>
      <c r="AC162" s="177" t="s">
        <v>209</v>
      </c>
      <c r="AD162" s="179">
        <v>38960</v>
      </c>
      <c r="AE162" s="7" t="s">
        <v>544</v>
      </c>
    </row>
    <row r="163" spans="10:31" ht="12.75">
      <c r="J163" s="96" t="s">
        <v>135</v>
      </c>
      <c r="M163" s="95"/>
      <c r="T163" s="20"/>
      <c r="Z163" s="21" t="s">
        <v>480</v>
      </c>
      <c r="AA163" s="177">
        <v>513</v>
      </c>
      <c r="AB163" s="177">
        <v>0.1</v>
      </c>
      <c r="AC163" s="177" t="s">
        <v>209</v>
      </c>
      <c r="AD163" s="179">
        <v>38960</v>
      </c>
      <c r="AE163" s="7" t="s">
        <v>544</v>
      </c>
    </row>
    <row r="164" spans="10:31" ht="12.75">
      <c r="J164" s="96" t="s">
        <v>136</v>
      </c>
      <c r="K164" s="14">
        <f>ROUND(STG1-SBSA1,2)</f>
        <v>7537.48</v>
      </c>
      <c r="L164" s="20"/>
      <c r="M164" s="95"/>
      <c r="T164" s="20"/>
      <c r="Z164" s="21" t="s">
        <v>481</v>
      </c>
      <c r="AA164" s="177">
        <v>513</v>
      </c>
      <c r="AB164" s="177">
        <v>0.1</v>
      </c>
      <c r="AC164" s="177" t="s">
        <v>209</v>
      </c>
      <c r="AD164" s="179">
        <v>38960</v>
      </c>
      <c r="AE164" s="7" t="s">
        <v>544</v>
      </c>
    </row>
    <row r="165" spans="10:31" ht="12.75">
      <c r="J165" s="96" t="s">
        <v>137</v>
      </c>
      <c r="K165" s="14">
        <f>ROUND(K133-K141,2)</f>
        <v>726.68</v>
      </c>
      <c r="L165" s="20"/>
      <c r="M165" s="95"/>
      <c r="T165" s="20"/>
      <c r="Z165" s="21" t="s">
        <v>522</v>
      </c>
      <c r="AA165" s="177">
        <v>513</v>
      </c>
      <c r="AB165" s="177">
        <v>0.08</v>
      </c>
      <c r="AC165" s="177" t="s">
        <v>209</v>
      </c>
      <c r="AD165" s="179">
        <v>39022</v>
      </c>
      <c r="AE165" s="7" t="s">
        <v>545</v>
      </c>
    </row>
    <row r="166" spans="10:31" ht="12.75">
      <c r="J166" s="96" t="s">
        <v>138</v>
      </c>
      <c r="K166" s="14">
        <f>ROUND(K134-K142,2)</f>
        <v>16859.16</v>
      </c>
      <c r="L166" s="20"/>
      <c r="M166" s="95"/>
      <c r="Z166" s="21" t="s">
        <v>523</v>
      </c>
      <c r="AA166" s="177">
        <v>513</v>
      </c>
      <c r="AB166" s="177">
        <v>0.08</v>
      </c>
      <c r="AC166" s="177" t="s">
        <v>209</v>
      </c>
      <c r="AD166" s="179">
        <v>39022</v>
      </c>
      <c r="AE166" s="7" t="s">
        <v>545</v>
      </c>
    </row>
    <row r="167" spans="10:31" ht="12.75">
      <c r="J167" s="96" t="s">
        <v>465</v>
      </c>
      <c r="K167" s="14">
        <f>ROUND(K135-K143,2)</f>
        <v>10885</v>
      </c>
      <c r="L167" s="20"/>
      <c r="M167" s="95"/>
      <c r="Z167" s="21" t="s">
        <v>524</v>
      </c>
      <c r="AA167" s="177">
        <v>513</v>
      </c>
      <c r="AB167" s="177">
        <v>0.08</v>
      </c>
      <c r="AC167" s="177" t="s">
        <v>209</v>
      </c>
      <c r="AD167" s="179">
        <v>39022</v>
      </c>
      <c r="AE167" s="7" t="s">
        <v>545</v>
      </c>
    </row>
    <row r="168" spans="10:31" ht="12.75">
      <c r="J168" s="96" t="s">
        <v>466</v>
      </c>
      <c r="K168" s="14">
        <f>ROUND(K136-K144,2)</f>
        <v>10885</v>
      </c>
      <c r="L168" s="20"/>
      <c r="M168" s="95"/>
      <c r="T168" s="20"/>
      <c r="Z168" s="21" t="s">
        <v>525</v>
      </c>
      <c r="AA168" s="177">
        <v>513</v>
      </c>
      <c r="AB168" s="177">
        <v>0.08</v>
      </c>
      <c r="AC168" s="177" t="s">
        <v>209</v>
      </c>
      <c r="AD168" s="179">
        <v>39022</v>
      </c>
      <c r="AE168" s="7" t="s">
        <v>545</v>
      </c>
    </row>
    <row r="169" spans="10:31" ht="12.75">
      <c r="J169" s="96" t="s">
        <v>467</v>
      </c>
      <c r="K169" s="14">
        <f>ROUND(K137-K145,2)</f>
        <v>10885</v>
      </c>
      <c r="L169" s="20"/>
      <c r="M169" s="95"/>
      <c r="T169" s="20"/>
      <c r="Z169" s="21" t="s">
        <v>255</v>
      </c>
      <c r="AA169" s="177">
        <v>0</v>
      </c>
      <c r="AB169" s="177">
        <v>0.08</v>
      </c>
      <c r="AC169" s="177" t="s">
        <v>208</v>
      </c>
      <c r="AD169" s="7" t="s">
        <v>4</v>
      </c>
      <c r="AE169" s="7" t="s">
        <v>4</v>
      </c>
    </row>
    <row r="170" spans="10:31" ht="12.75">
      <c r="J170" s="15"/>
      <c r="T170" s="20"/>
      <c r="Z170" s="21" t="s">
        <v>256</v>
      </c>
      <c r="AA170" s="177">
        <v>0</v>
      </c>
      <c r="AB170" s="177">
        <v>0.01</v>
      </c>
      <c r="AC170" s="177" t="s">
        <v>208</v>
      </c>
      <c r="AD170" s="7" t="s">
        <v>4</v>
      </c>
      <c r="AE170" s="7" t="s">
        <v>4</v>
      </c>
    </row>
    <row r="171" spans="10:31" ht="12.75">
      <c r="J171" s="96" t="s">
        <v>139</v>
      </c>
      <c r="M171" s="95"/>
      <c r="T171" s="20"/>
      <c r="Z171" s="21" t="s">
        <v>257</v>
      </c>
      <c r="AA171" s="177">
        <v>0</v>
      </c>
      <c r="AB171" s="177">
        <v>0.01</v>
      </c>
      <c r="AC171" s="177" t="s">
        <v>159</v>
      </c>
      <c r="AD171" s="7" t="s">
        <v>4</v>
      </c>
      <c r="AE171" s="7" t="s">
        <v>4</v>
      </c>
    </row>
    <row r="172" spans="10:31" ht="12.75">
      <c r="J172" s="96" t="s">
        <v>140</v>
      </c>
      <c r="K172" s="48">
        <f>(SBST1+ROUND(SOVR1*SMTR1,5))</f>
        <v>1025.63719</v>
      </c>
      <c r="L172" s="20"/>
      <c r="M172" s="95"/>
      <c r="T172" s="20"/>
      <c r="Z172" s="21" t="s">
        <v>258</v>
      </c>
      <c r="AA172" s="177">
        <v>0</v>
      </c>
      <c r="AB172" s="177">
        <v>0.08</v>
      </c>
      <c r="AC172" s="177" t="s">
        <v>159</v>
      </c>
      <c r="AD172" s="7" t="s">
        <v>4</v>
      </c>
      <c r="AE172" s="7" t="s">
        <v>4</v>
      </c>
    </row>
    <row r="173" spans="10:31" ht="12.75">
      <c r="J173" s="96" t="s">
        <v>141</v>
      </c>
      <c r="K173" s="48">
        <f>(K157+ROUND(K165*SMTR2,5))</f>
        <v>9.99185</v>
      </c>
      <c r="L173" s="20"/>
      <c r="M173" s="95"/>
      <c r="T173" s="20"/>
      <c r="Z173" s="21" t="s">
        <v>208</v>
      </c>
      <c r="AA173" s="177">
        <v>0</v>
      </c>
      <c r="AB173" s="177">
        <v>0</v>
      </c>
      <c r="AC173" s="177" t="s">
        <v>208</v>
      </c>
      <c r="AD173" s="7" t="s">
        <v>4</v>
      </c>
      <c r="AE173" s="7" t="s">
        <v>4</v>
      </c>
    </row>
    <row r="174" spans="10:31" ht="12.75">
      <c r="J174" s="96" t="s">
        <v>142</v>
      </c>
      <c r="K174" s="48">
        <f>(K158+ROUND(K166*SMTR3,5))</f>
        <v>611.41421</v>
      </c>
      <c r="L174" s="20"/>
      <c r="M174" s="95"/>
      <c r="Z174" s="21" t="s">
        <v>259</v>
      </c>
      <c r="AA174" s="177">
        <v>0</v>
      </c>
      <c r="AB174" s="177">
        <v>0</v>
      </c>
      <c r="AC174" s="177" t="s">
        <v>159</v>
      </c>
      <c r="AD174" s="7" t="s">
        <v>4</v>
      </c>
      <c r="AE174" s="7" t="s">
        <v>4</v>
      </c>
    </row>
    <row r="175" spans="10:31" ht="12.75">
      <c r="J175" s="96" t="s">
        <v>143</v>
      </c>
      <c r="K175" s="48">
        <f>(K159+ROUND(K167*SMTR4,5))</f>
        <v>1182.13375</v>
      </c>
      <c r="L175" s="20"/>
      <c r="M175" s="95"/>
      <c r="Z175" s="21" t="s">
        <v>165</v>
      </c>
      <c r="AA175" s="177">
        <v>0</v>
      </c>
      <c r="AB175" s="177">
        <v>0</v>
      </c>
      <c r="AC175" s="177" t="s">
        <v>209</v>
      </c>
      <c r="AD175" s="7" t="s">
        <v>4</v>
      </c>
      <c r="AE175" s="7" t="s">
        <v>4</v>
      </c>
    </row>
    <row r="176" spans="10:31" ht="12.75">
      <c r="J176" s="96" t="s">
        <v>144</v>
      </c>
      <c r="K176" s="48">
        <f>(K160+ROUND(K168*SMTR5,5))</f>
        <v>1182.13375</v>
      </c>
      <c r="L176" s="20"/>
      <c r="M176" s="95"/>
      <c r="T176" s="20"/>
      <c r="Z176" s="21" t="s">
        <v>168</v>
      </c>
      <c r="AA176" s="177">
        <v>0</v>
      </c>
      <c r="AB176" s="177">
        <v>0</v>
      </c>
      <c r="AC176" s="177" t="s">
        <v>208</v>
      </c>
      <c r="AD176" s="7" t="s">
        <v>4</v>
      </c>
      <c r="AE176" s="7" t="s">
        <v>4</v>
      </c>
    </row>
    <row r="177" spans="10:31" ht="12.75">
      <c r="J177" s="96" t="s">
        <v>145</v>
      </c>
      <c r="K177" s="48">
        <f>(K161+ROUND(K169*SMTR6,5))</f>
        <v>1182.13375</v>
      </c>
      <c r="L177" s="20"/>
      <c r="M177" s="95"/>
      <c r="T177" s="20"/>
      <c r="Z177" s="21" t="s">
        <v>260</v>
      </c>
      <c r="AA177" s="177">
        <v>0</v>
      </c>
      <c r="AB177" s="177">
        <v>0</v>
      </c>
      <c r="AC177" s="177" t="s">
        <v>159</v>
      </c>
      <c r="AD177" s="7" t="s">
        <v>4</v>
      </c>
      <c r="AE177" s="7" t="s">
        <v>4</v>
      </c>
    </row>
    <row r="178" spans="10:31" ht="12.75">
      <c r="J178" s="15"/>
      <c r="T178" s="20"/>
      <c r="Z178" s="21" t="s">
        <v>261</v>
      </c>
      <c r="AA178" s="177">
        <v>0</v>
      </c>
      <c r="AB178" s="177">
        <v>0.075</v>
      </c>
      <c r="AC178" s="177" t="s">
        <v>208</v>
      </c>
      <c r="AD178" s="7" t="s">
        <v>4</v>
      </c>
      <c r="AE178" s="7" t="s">
        <v>4</v>
      </c>
    </row>
    <row r="179" spans="10:31" ht="12.75">
      <c r="J179" s="96" t="s">
        <v>146</v>
      </c>
      <c r="M179" s="95"/>
      <c r="T179" s="20"/>
      <c r="Z179" s="21" t="s">
        <v>262</v>
      </c>
      <c r="AA179" s="177">
        <v>513</v>
      </c>
      <c r="AB179" s="177">
        <v>0.06</v>
      </c>
      <c r="AC179" s="177" t="s">
        <v>209</v>
      </c>
      <c r="AD179" s="7" t="s">
        <v>4</v>
      </c>
      <c r="AE179" s="7" t="s">
        <v>4</v>
      </c>
    </row>
    <row r="180" spans="10:31" ht="12.75">
      <c r="J180" s="96" t="s">
        <v>147</v>
      </c>
      <c r="K180" s="149">
        <f>IF(OR(TG1*PAYFACT&lt;=LIE,(STA1-TXCREDIT)/PAYFACT&lt;=0),0,IF(STA1-TXCREDIT/PAYFACT&gt;0,ROUND((STA1-TXCREDIT)/PAYFACT,2)))</f>
        <v>85.47</v>
      </c>
      <c r="L180" s="20"/>
      <c r="M180" s="95"/>
      <c r="T180" s="20"/>
      <c r="Z180" s="21" t="s">
        <v>263</v>
      </c>
      <c r="AA180" s="177">
        <v>513</v>
      </c>
      <c r="AB180" s="177">
        <v>0.06</v>
      </c>
      <c r="AC180" s="177" t="s">
        <v>209</v>
      </c>
      <c r="AD180" s="7" t="s">
        <v>4</v>
      </c>
      <c r="AE180" s="7" t="s">
        <v>4</v>
      </c>
    </row>
    <row r="181" spans="10:31" ht="12.75">
      <c r="J181" s="96" t="s">
        <v>148</v>
      </c>
      <c r="K181" s="14">
        <f>IF(OR(TG2*PAYFACT&lt;=LIE,(K173-TXCREDIT)/PAYFACT&lt;=0),0,IF(K173-TXCREDIT/PAYFACT&gt;0,ROUND((K173-TXCREDIT)/PAYFACT,2)))</f>
        <v>0</v>
      </c>
      <c r="L181" s="20"/>
      <c r="M181" s="95"/>
      <c r="T181" s="20"/>
      <c r="Z181" s="21" t="s">
        <v>264</v>
      </c>
      <c r="AA181" s="177">
        <v>513</v>
      </c>
      <c r="AB181" s="177">
        <v>0.06</v>
      </c>
      <c r="AC181" s="177" t="s">
        <v>209</v>
      </c>
      <c r="AD181" s="7" t="s">
        <v>4</v>
      </c>
      <c r="AE181" s="7" t="s">
        <v>4</v>
      </c>
    </row>
    <row r="182" spans="10:31" ht="12.75">
      <c r="J182" s="96" t="s">
        <v>149</v>
      </c>
      <c r="K182" s="14">
        <f>IF(OR(TG3*PAYFACT&lt;=LIE,(K174-TXCREDIT)/PAYFACT&lt;=0),0,IF(K174-TXCREDIT/PAYFACT&gt;0,ROUND((K174-TXCREDIT)/PAYFACT,2)))</f>
        <v>50.95</v>
      </c>
      <c r="L182" s="20"/>
      <c r="M182" s="95"/>
      <c r="Z182" s="21" t="s">
        <v>265</v>
      </c>
      <c r="AA182" s="177">
        <v>513</v>
      </c>
      <c r="AB182" s="177">
        <v>0.06</v>
      </c>
      <c r="AC182" s="177" t="s">
        <v>209</v>
      </c>
      <c r="AD182" s="7" t="s">
        <v>4</v>
      </c>
      <c r="AE182" s="7" t="s">
        <v>4</v>
      </c>
    </row>
    <row r="183" spans="10:31" ht="12.75">
      <c r="J183" s="96" t="s">
        <v>150</v>
      </c>
      <c r="K183" s="14">
        <f>IF(OR(TG4*PAYFACT&lt;=LIE,(K175-TXCREDIT)/PAYFACT&lt;=0),0,IF(K175-TXCREDIT/PAYFACT&gt;0,ROUND((K175-TXCREDIT)/PAYFACT,2)))</f>
        <v>98.51</v>
      </c>
      <c r="L183" s="20"/>
      <c r="M183" s="95"/>
      <c r="Z183" s="21" t="s">
        <v>267</v>
      </c>
      <c r="AA183" s="177">
        <v>513</v>
      </c>
      <c r="AB183" s="177">
        <v>0.05</v>
      </c>
      <c r="AC183" s="177" t="s">
        <v>209</v>
      </c>
      <c r="AD183" s="7" t="s">
        <v>4</v>
      </c>
      <c r="AE183" s="7" t="s">
        <v>4</v>
      </c>
    </row>
    <row r="184" spans="10:31" ht="12.75">
      <c r="J184" s="96" t="s">
        <v>151</v>
      </c>
      <c r="K184" s="14">
        <f>IF(OR(TG4*PAYFACT&lt;=LIE,(K176-TXCREDIT)/PAYFACT&lt;=0),0,IF(K176-TXCREDIT/PAYFACT&gt;0,ROUND((K176-TXCREDIT)/PAYFACT,2)))</f>
        <v>98.51</v>
      </c>
      <c r="L184" s="20"/>
      <c r="M184" s="95"/>
      <c r="Z184" s="21" t="s">
        <v>268</v>
      </c>
      <c r="AA184" s="177">
        <v>513</v>
      </c>
      <c r="AB184" s="177">
        <v>0.05</v>
      </c>
      <c r="AC184" s="177" t="s">
        <v>209</v>
      </c>
      <c r="AD184" s="7" t="s">
        <v>4</v>
      </c>
      <c r="AE184" s="7" t="s">
        <v>4</v>
      </c>
    </row>
    <row r="185" spans="10:31" ht="12.75">
      <c r="J185" s="96" t="s">
        <v>152</v>
      </c>
      <c r="K185" s="14">
        <f>IF(OR(TG6*PAYFACT&lt;=LIE,(K177-TXCREDIT)/PAYFACT&lt;=0),0,IF(K177-TXCREDIT/PAYFACT&gt;0,ROUND((K177-TXCREDIT)/PAYFACT,2)))</f>
        <v>98.51</v>
      </c>
      <c r="L185" s="20"/>
      <c r="M185" s="95"/>
      <c r="Z185" s="21" t="s">
        <v>269</v>
      </c>
      <c r="AA185" s="177">
        <v>513</v>
      </c>
      <c r="AB185" s="177">
        <v>0.05</v>
      </c>
      <c r="AC185" s="177" t="s">
        <v>209</v>
      </c>
      <c r="AD185" s="7" t="s">
        <v>4</v>
      </c>
      <c r="AE185" s="7" t="s">
        <v>4</v>
      </c>
    </row>
    <row r="186" spans="26:31" ht="12.75">
      <c r="Z186" s="21" t="s">
        <v>266</v>
      </c>
      <c r="AA186" s="177">
        <v>0</v>
      </c>
      <c r="AB186" s="177">
        <v>0.075</v>
      </c>
      <c r="AC186" s="177" t="s">
        <v>159</v>
      </c>
      <c r="AD186" s="7" t="s">
        <v>4</v>
      </c>
      <c r="AE186" s="7" t="s">
        <v>4</v>
      </c>
    </row>
    <row r="187" spans="26:31" ht="12.75">
      <c r="Z187" s="21" t="s">
        <v>270</v>
      </c>
      <c r="AA187" s="177">
        <v>513</v>
      </c>
      <c r="AB187" s="177">
        <v>0.05</v>
      </c>
      <c r="AC187" s="177" t="s">
        <v>209</v>
      </c>
      <c r="AD187" s="7" t="s">
        <v>4</v>
      </c>
      <c r="AE187" s="7" t="s">
        <v>4</v>
      </c>
    </row>
    <row r="188" spans="26:31" ht="12.75">
      <c r="Z188" s="21" t="s">
        <v>271</v>
      </c>
      <c r="AA188" s="177">
        <v>513</v>
      </c>
      <c r="AB188" s="177">
        <v>0.05</v>
      </c>
      <c r="AC188" s="177" t="s">
        <v>209</v>
      </c>
      <c r="AD188" s="7" t="s">
        <v>4</v>
      </c>
      <c r="AE188" s="7" t="s">
        <v>4</v>
      </c>
    </row>
    <row r="189" spans="26:31" ht="12.75">
      <c r="Z189" s="21" t="s">
        <v>272</v>
      </c>
      <c r="AA189" s="177">
        <v>513</v>
      </c>
      <c r="AB189" s="177">
        <v>0.05</v>
      </c>
      <c r="AC189" s="177" t="s">
        <v>209</v>
      </c>
      <c r="AD189" s="7" t="s">
        <v>4</v>
      </c>
      <c r="AE189" s="7" t="s">
        <v>4</v>
      </c>
    </row>
    <row r="190" spans="26:31" ht="12.75">
      <c r="Z190" s="21" t="s">
        <v>273</v>
      </c>
      <c r="AA190" s="177">
        <v>513</v>
      </c>
      <c r="AB190" s="177">
        <v>0.05</v>
      </c>
      <c r="AC190" s="177" t="s">
        <v>209</v>
      </c>
      <c r="AD190" s="7" t="s">
        <v>4</v>
      </c>
      <c r="AE190" s="7" t="s">
        <v>4</v>
      </c>
    </row>
    <row r="191" spans="26:31" ht="12.75">
      <c r="Z191" s="21" t="s">
        <v>274</v>
      </c>
      <c r="AA191" s="177">
        <v>0</v>
      </c>
      <c r="AB191" s="177">
        <v>0.075</v>
      </c>
      <c r="AC191" s="177" t="s">
        <v>208</v>
      </c>
      <c r="AD191" s="7" t="s">
        <v>4</v>
      </c>
      <c r="AE191" s="7" t="s">
        <v>4</v>
      </c>
    </row>
    <row r="192" spans="26:31" ht="12.75">
      <c r="Z192" s="21" t="s">
        <v>275</v>
      </c>
      <c r="AA192" s="177">
        <v>0</v>
      </c>
      <c r="AB192" s="177">
        <v>0.075</v>
      </c>
      <c r="AC192" s="177" t="s">
        <v>159</v>
      </c>
      <c r="AD192" s="7" t="s">
        <v>4</v>
      </c>
      <c r="AE192" s="7" t="s">
        <v>4</v>
      </c>
    </row>
    <row r="193" spans="26:31" ht="12.75">
      <c r="Z193" s="21" t="s">
        <v>276</v>
      </c>
      <c r="AA193" s="177">
        <v>513</v>
      </c>
      <c r="AB193" s="177">
        <v>0.05</v>
      </c>
      <c r="AC193" s="177" t="s">
        <v>209</v>
      </c>
      <c r="AD193" s="7" t="s">
        <v>4</v>
      </c>
      <c r="AE193" s="7" t="s">
        <v>4</v>
      </c>
    </row>
    <row r="196" ht="12.75">
      <c r="Z196" s="10" t="s">
        <v>552</v>
      </c>
    </row>
    <row r="197" spans="26:31" ht="12.75">
      <c r="Z197" s="21" t="s">
        <v>211</v>
      </c>
      <c r="AA197" s="7">
        <v>238</v>
      </c>
      <c r="AB197" s="7">
        <v>0.1</v>
      </c>
      <c r="AC197" s="7" t="s">
        <v>208</v>
      </c>
      <c r="AD197" s="179">
        <v>39022</v>
      </c>
      <c r="AE197" s="7" t="s">
        <v>545</v>
      </c>
    </row>
    <row r="198" spans="26:31" ht="12.75">
      <c r="Z198" s="21" t="s">
        <v>212</v>
      </c>
      <c r="AA198" s="7">
        <v>238</v>
      </c>
      <c r="AB198" s="7">
        <v>0.1</v>
      </c>
      <c r="AC198" s="7" t="s">
        <v>159</v>
      </c>
      <c r="AD198" s="179">
        <v>39022</v>
      </c>
      <c r="AE198" s="7" t="s">
        <v>545</v>
      </c>
    </row>
    <row r="199" spans="26:31" ht="12.75">
      <c r="Z199" s="21" t="s">
        <v>215</v>
      </c>
      <c r="AA199" s="7">
        <v>513</v>
      </c>
      <c r="AB199" s="7">
        <v>0.08</v>
      </c>
      <c r="AC199" s="7" t="s">
        <v>209</v>
      </c>
      <c r="AD199" s="179">
        <v>39022</v>
      </c>
      <c r="AE199" s="7" t="s">
        <v>545</v>
      </c>
    </row>
    <row r="200" spans="26:31" ht="12.75">
      <c r="Z200" s="21" t="s">
        <v>234</v>
      </c>
      <c r="AA200" s="7">
        <v>513</v>
      </c>
      <c r="AB200" s="7">
        <v>0.11</v>
      </c>
      <c r="AC200" s="7" t="s">
        <v>208</v>
      </c>
      <c r="AD200" s="179">
        <v>39022</v>
      </c>
      <c r="AE200" s="7" t="s">
        <v>545</v>
      </c>
    </row>
    <row r="201" spans="26:31" ht="12.75">
      <c r="Z201" s="21" t="s">
        <v>235</v>
      </c>
      <c r="AA201" s="7">
        <v>513</v>
      </c>
      <c r="AB201" s="7">
        <v>0.11</v>
      </c>
      <c r="AC201" s="7" t="s">
        <v>159</v>
      </c>
      <c r="AD201" s="179">
        <v>39022</v>
      </c>
      <c r="AE201" s="7" t="s">
        <v>545</v>
      </c>
    </row>
    <row r="202" spans="26:31" ht="12.75">
      <c r="Z202" s="21" t="s">
        <v>236</v>
      </c>
      <c r="AA202" s="7">
        <v>513</v>
      </c>
      <c r="AB202" s="7">
        <v>0.11</v>
      </c>
      <c r="AC202" s="7" t="s">
        <v>208</v>
      </c>
      <c r="AD202" s="179">
        <v>39022</v>
      </c>
      <c r="AE202" s="7" t="s">
        <v>545</v>
      </c>
    </row>
    <row r="203" spans="26:31" ht="12.75">
      <c r="Z203" s="21" t="s">
        <v>237</v>
      </c>
      <c r="AA203" s="7">
        <v>513</v>
      </c>
      <c r="AB203" s="7">
        <v>0.11</v>
      </c>
      <c r="AC203" s="7" t="s">
        <v>159</v>
      </c>
      <c r="AD203" s="179">
        <v>39022</v>
      </c>
      <c r="AE203" s="7" t="s">
        <v>545</v>
      </c>
    </row>
    <row r="204" spans="26:31" ht="12.75">
      <c r="Z204" s="21" t="s">
        <v>240</v>
      </c>
      <c r="AA204" s="7">
        <v>863</v>
      </c>
      <c r="AB204" s="7">
        <v>0.11</v>
      </c>
      <c r="AC204" s="7" t="s">
        <v>208</v>
      </c>
      <c r="AD204" s="179">
        <v>39022</v>
      </c>
      <c r="AE204" s="7" t="s">
        <v>545</v>
      </c>
    </row>
    <row r="205" spans="26:31" ht="12.75">
      <c r="Z205" s="21" t="s">
        <v>241</v>
      </c>
      <c r="AA205" s="7">
        <v>863</v>
      </c>
      <c r="AB205" s="7">
        <v>0.11</v>
      </c>
      <c r="AC205" s="7" t="s">
        <v>159</v>
      </c>
      <c r="AD205" s="179">
        <v>39022</v>
      </c>
      <c r="AE205" s="7" t="s">
        <v>545</v>
      </c>
    </row>
  </sheetData>
  <sheetProtection/>
  <mergeCells count="3">
    <mergeCell ref="J1:K1"/>
    <mergeCell ref="M47:N47"/>
    <mergeCell ref="J47:K47"/>
  </mergeCells>
  <printOptions/>
  <pageMargins left="0.75" right="0.75" top="1" bottom="1" header="0.5" footer="0.5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2009 Tax Year</dc:subject>
  <dc:creator>State Controller's Office/PPSD - Johnie Pennington</dc:creator>
  <cp:keywords/>
  <dc:description>Production 08/2009</dc:description>
  <cp:lastModifiedBy>Ayala, Nancy E.</cp:lastModifiedBy>
  <cp:lastPrinted>2010-08-31T16:51:01Z</cp:lastPrinted>
  <dcterms:created xsi:type="dcterms:W3CDTF">2001-09-13T14:13:59Z</dcterms:created>
  <dcterms:modified xsi:type="dcterms:W3CDTF">2015-05-04T19:32:22Z</dcterms:modified>
  <cp:category>Tax Year 2009</cp:category>
  <cp:version/>
  <cp:contentType/>
  <cp:contentStatus/>
</cp:coreProperties>
</file>