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2165" windowHeight="10335" tabRatio="541" activeTab="0"/>
  </bookViews>
  <sheets>
    <sheet name="IDL" sheetId="1" r:id="rId1"/>
  </sheets>
  <definedNames>
    <definedName name="ADDALLOW1">'IDL'!$K$124</definedName>
    <definedName name="APPLY_EXCLUSION">'IDL'!$K$28</definedName>
    <definedName name="CBID">'IDL'!$B$4</definedName>
    <definedName name="Days_in_Pay_Period">'IDL'!$D$5</definedName>
    <definedName name="DCA1">'IDL'!$B$22</definedName>
    <definedName name="DCA2">'IDL'!$C$22</definedName>
    <definedName name="DCA3">'IDL'!$D$22</definedName>
    <definedName name="DCA4">'IDL'!$F$22</definedName>
    <definedName name="DCA5">'IDL'!$G$22</definedName>
    <definedName name="DCA6">'IDL'!$H$22</definedName>
    <definedName name="Divided_By">'IDL'!$D$32</definedName>
    <definedName name="EMPCR">'IDL'!$U$17:$V$40</definedName>
    <definedName name="EPMC">'IDL'!$K$14</definedName>
    <definedName name="EPMC_P">'IDL'!$K$13</definedName>
    <definedName name="EXCLUSION">'IDL'!$K$27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E">'IDL'!$D$13</definedName>
    <definedName name="FEDEXM">'IDL'!$K$57</definedName>
    <definedName name="FEDEXMPT1">'IDL'!$AF$2</definedName>
    <definedName name="FEDM">'IDL'!$B$13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TBLM1">'IDL'!$AF$18:$AH$26</definedName>
    <definedName name="FTXTBLSH1">'IDL'!$AF$6:$AH$14</definedName>
    <definedName name="Full_Net">'IDL'!$B$30</definedName>
    <definedName name="Gross_Net">'IDL'!$K$2</definedName>
    <definedName name="Grs_Full_Supple">'IDL'!$B$33</definedName>
    <definedName name="HAS_REDUCED_SALARY">'IDL'!$K$29</definedName>
    <definedName name="HOURS_IDL_23">'IDL'!$K$11</definedName>
    <definedName name="HOURS_IDL_FULL">'IDL'!$K$10</definedName>
    <definedName name="HOURS_OF_REGULAR_PAY">'IDL'!$K$9</definedName>
    <definedName name="IDL_2_3">'IDL'!$K$5</definedName>
    <definedName name="IDL_23_Days">'IDL'!$B$20</definedName>
    <definedName name="IDL_23_Grs">'IDL'!$M$26</definedName>
    <definedName name="IDL_23_Hrs">'IDL'!$C$20</definedName>
    <definedName name="IDL_23_Net">'IDL'!$F$30</definedName>
    <definedName name="IDL_23_PAY">'IDL'!$N$40</definedName>
    <definedName name="IDL_23_PAY_EXCLUSION">'IDL'!$N$41</definedName>
    <definedName name="IDL_23_PAY_WITHHOLDING">'IDL'!$N$42</definedName>
    <definedName name="IDL_23_RETIREMENT_WH">'IDL'!$M$19</definedName>
    <definedName name="IDL_Full">'IDL'!$K$4</definedName>
    <definedName name="IDL_Full_Days">'IDL'!$B$19</definedName>
    <definedName name="IDL_Full_Hrs">'IDL'!$C$19</definedName>
    <definedName name="IDL_Full_Net">'IDL'!$D$30</definedName>
    <definedName name="IDL_FULL_PAY">'IDL'!$N$35</definedName>
    <definedName name="IDL_FULL_PAY_EXCLUSION">'IDL'!$N$36</definedName>
    <definedName name="IDL_FULL_PAY_WITHHOLDING">'IDL'!$N$37</definedName>
    <definedName name="IDL_FULL_RETIREMENT_WH">'IDL'!$M$9</definedName>
    <definedName name="IDL_Grs">'IDL'!$M$16</definedName>
    <definedName name="INSTRUCTIONS">'IDL'!$A$42:$H$64</definedName>
    <definedName name="Iss_Mon">'IDL'!$D$15</definedName>
    <definedName name="Iss_Yr">'IDL'!$F$15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'IDL'!$D$6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rg_Hr_Rate">'IDL'!$K$7</definedName>
    <definedName name="Pay_Period">'IDL'!$D$8</definedName>
    <definedName name="PAYFACT">'IDL'!$K$56</definedName>
    <definedName name="PayFreq">'IDL'!$B$5</definedName>
    <definedName name="PAYPERIOD_DAYS">'IDL'!$K$20</definedName>
    <definedName name="PAYPERIOD_HOURS">'IDL'!$K$6</definedName>
    <definedName name="_xlnm.Print_Area" localSheetId="0">'IDL'!$A$1:$H$36</definedName>
    <definedName name="RED_SAL_NOT_LOCKED">'IDL'!$K$25</definedName>
    <definedName name="Red_Sal_Rate">'IDL'!$D$3</definedName>
    <definedName name="REDUCED_SALARY">'IDL'!$K$24</definedName>
    <definedName name="Reg_Days">'IDL'!$B$18</definedName>
    <definedName name="Reg_Hrs">'IDL'!$C$18</definedName>
    <definedName name="Reg_Med">'IDL'!$M$5</definedName>
    <definedName name="Reg_Net">'IDL'!$C$30</definedName>
    <definedName name="Reg_Net_Grs">'IDL'!$K$3</definedName>
    <definedName name="REG_PAY_EXCLUSION">'IDL'!$N$31</definedName>
    <definedName name="REG_PAY_SUBJ_RETIREMENT">'IDL'!$N$30</definedName>
    <definedName name="REG_PAY_WITHHOLDING">'IDL'!$N$32</definedName>
    <definedName name="REG_RETIREMENT_WH">'IDL'!$M$3</definedName>
    <definedName name="Reg_SDI">'IDL'!$M$6</definedName>
    <definedName name="Reg_SS">'IDL'!$M$4</definedName>
    <definedName name="REGULAR_PAY">'IDL'!$N$29</definedName>
    <definedName name="RET_EXCLUSION_AMT">'IDL'!$S$3</definedName>
    <definedName name="Ret_SM_Exl_Apply">'IDL'!$B$9</definedName>
    <definedName name="RETID_TABLE">'IDL'!$Z$3:$AD$293</definedName>
    <definedName name="RETIREMENT_ID">'IDL'!$B$8</definedName>
    <definedName name="RETIREMENT_SALARY_RATE">'IDL'!$K$26</definedName>
    <definedName name="SADDALL1">'IDL'!$AK$3</definedName>
    <definedName name="SALARY">'IDL'!$K$23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'IDL'!$B$11</definedName>
    <definedName name="SDI_CBID">'IDL'!$R$27:$S$47</definedName>
    <definedName name="SDI1">'IDL'!$K$17</definedName>
    <definedName name="SDIGRS">'IDL'!$K$18</definedName>
    <definedName name="SDM1">'IDL'!$AK$13</definedName>
    <definedName name="SDM2">'IDL'!$AL$13</definedName>
    <definedName name="SDS1">'IDL'!$AJ$13</definedName>
    <definedName name="Semi_PP_Days">'IDL'!$G$5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'IDL'!$B$15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'IDL'!$D$14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'IDL'!$B$14</definedName>
    <definedName name="STXTBLH1">'IDL'!$AJ$45:$AL$55</definedName>
    <definedName name="STXTBLM1">'IDL'!$AJ$31:$AL$41</definedName>
    <definedName name="STXTBLS1">'IDL'!$AJ$17:$AL$27</definedName>
    <definedName name="Supple_Gross_Net">'IDL'!$B$32</definedName>
    <definedName name="Tax_Charts">'IDL'!$D$11</definedName>
    <definedName name="TCRM1">'IDL'!$AL$61</definedName>
    <definedName name="TCRM2">'IDL'!$AM$61</definedName>
    <definedName name="TCRM3">'IDL'!$AN$61</definedName>
    <definedName name="TCRS1">'IDL'!$AL$60</definedName>
    <definedName name="TCRS2">'IDL'!$AM$60</definedName>
    <definedName name="TCRS3">'IDL'!$AN$60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'IDL'!$B$6</definedName>
    <definedName name="Time_Base_Hrs">'IDL'!$K$22</definedName>
    <definedName name="TIMEBASE">'IDL'!$K$21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<sst xmlns="http://schemas.openxmlformats.org/spreadsheetml/2006/main" count="1050" uniqueCount="592">
  <si>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</si>
  <si>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</si>
  <si>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</si>
  <si>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</si>
  <si>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</si>
  <si>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</si>
  <si>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</si>
  <si>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</si>
  <si>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</si>
  <si>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</si>
  <si>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</si>
  <si>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</si>
  <si>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</si>
  <si>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</si>
  <si>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</si>
  <si>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</si>
  <si>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</si>
  <si>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</si>
  <si>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</si>
  <si>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</si>
  <si>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</si>
  <si>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</si>
  <si>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</si>
  <si>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</si>
  <si>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</si>
  <si>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</si>
  <si>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</si>
  <si>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</si>
  <si>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</si>
  <si>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</si>
  <si>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</si>
  <si>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</si>
  <si>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</si>
  <si>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</si>
  <si>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</si>
  <si>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</si>
  <si>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</si>
  <si>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</si>
  <si>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</si>
  <si>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</si>
  <si>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</si>
  <si>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</si>
  <si>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</si>
  <si>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</si>
  <si>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</si>
  <si>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</si>
  <si>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</si>
  <si>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</si>
  <si>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</si>
  <si>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</si>
  <si>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</si>
  <si>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</si>
  <si>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</si>
  <si>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</si>
  <si>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</si>
  <si>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</si>
  <si>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</si>
  <si>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</si>
  <si>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</si>
  <si>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</si>
  <si>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</si>
  <si>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</si>
  <si>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</si>
  <si>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</si>
  <si>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</si>
  <si>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</si>
  <si>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</si>
  <si>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</si>
  <si>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</si>
  <si>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</si>
  <si>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</si>
  <si>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</si>
  <si>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</si>
  <si>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</si>
  <si>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</si>
  <si>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</si>
  <si>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</si>
  <si>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</si>
  <si>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</si>
  <si>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</si>
  <si>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</si>
  <si>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</si>
  <si>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</si>
  <si>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</si>
  <si>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</si>
  <si>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</si>
  <si>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</si>
  <si>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</si>
  <si>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</si>
  <si>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</si>
  <si>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</si>
  <si>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</si>
  <si>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</si>
  <si>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</si>
  <si>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</si>
  <si>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</si>
  <si>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</si>
  <si>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</si>
  <si>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</si>
  <si>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</si>
  <si>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</si>
  <si>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</si>
  <si>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</si>
  <si>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</si>
  <si>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</si>
  <si>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</si>
  <si>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</si>
  <si>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</si>
  <si>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</si>
  <si>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</si>
  <si>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</si>
  <si>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</si>
  <si>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</si>
  <si>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</si>
  <si>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</si>
  <si>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</si>
  <si>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</si>
  <si>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</si>
  <si>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</si>
  <si>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</si>
  <si>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</si>
  <si>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</si>
  <si>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</si>
  <si>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</si>
  <si>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</si>
  <si>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</si>
  <si>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</si>
  <si>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</si>
  <si>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</si>
  <si>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</si>
  <si>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</si>
  <si>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</si>
  <si>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</si>
  <si>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</si>
  <si>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</si>
  <si>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</si>
  <si>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</si>
  <si>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</si>
  <si>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</si>
  <si>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</si>
  <si>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</si>
  <si>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</si>
  <si>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</si>
  <si>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</si>
  <si>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</si>
  <si>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</si>
  <si>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</si>
  <si>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</si>
  <si>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</si>
  <si>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</si>
  <si>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</si>
  <si>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</si>
  <si>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</si>
  <si>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</si>
  <si>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</si>
  <si>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</si>
  <si>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</si>
  <si>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</si>
  <si>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</si>
  <si>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</si>
  <si>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</si>
  <si>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</si>
  <si>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</si>
  <si>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</si>
  <si>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</si>
  <si>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</si>
  <si>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</si>
  <si>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</si>
  <si>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</si>
  <si>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Additional State Allowances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</si>
  <si>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</si>
  <si>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</si>
  <si>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</si>
  <si>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</si>
  <si>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</si>
  <si>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</si>
  <si>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</si>
  <si>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</si>
  <si>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</si>
  <si>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</si>
  <si>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</si>
  <si>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</si>
  <si>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</si>
  <si>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</si>
  <si>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</si>
  <si>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</si>
  <si>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</si>
  <si>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</si>
  <si>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</si>
  <si>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</si>
  <si>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</si>
  <si>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</si>
  <si>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</si>
  <si>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</si>
  <si>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</si>
  <si>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</si>
  <si>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</si>
  <si>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EXL AMT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</si>
  <si>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</si>
  <si>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</si>
  <si>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</si>
  <si>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</si>
  <si>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</si>
  <si>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</si>
  <si>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</si>
  <si>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</si>
  <si>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</si>
  <si>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</si>
  <si>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</si>
  <si>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</si>
  <si>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</si>
  <si>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</si>
  <si>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</si>
  <si>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</si>
  <si>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</si>
  <si>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</si>
  <si>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</si>
  <si>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</si>
  <si>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</si>
  <si>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</si>
  <si>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</si>
  <si>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</si>
  <si>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</si>
  <si>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</si>
  <si>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</si>
  <si>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</si>
  <si>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</si>
  <si>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</si>
  <si>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</si>
  <si>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</si>
  <si>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</si>
  <si>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</si>
  <si>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</si>
  <si>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</si>
  <si>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</si>
  <si>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</si>
  <si>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</si>
  <si>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</si>
  <si>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</si>
  <si>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</si>
  <si>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</si>
  <si>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</si>
  <si>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</si>
  <si>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</si>
  <si>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</si>
  <si>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</si>
  <si>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</si>
  <si>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</si>
  <si>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</si>
  <si>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</si>
  <si>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</si>
  <si>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</si>
  <si>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</si>
  <si>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</si>
  <si>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</si>
  <si>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</si>
  <si>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</si>
  <si>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</si>
  <si>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</si>
  <si>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</si>
  <si>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</si>
  <si>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</si>
  <si>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</si>
  <si>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</si>
  <si>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</si>
  <si>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</si>
  <si>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</si>
  <si>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</si>
  <si>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</si>
  <si>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</si>
  <si>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</si>
  <si>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</si>
  <si>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</si>
  <si>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</si>
  <si>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</si>
  <si>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</si>
  <si>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</si>
  <si>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</si>
  <si>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</si>
  <si>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</si>
  <si>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</si>
  <si>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</si>
  <si>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</si>
  <si>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</si>
  <si>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Sub Fed State</t>
  </si>
  <si>
    <t>Exmp Fed State</t>
  </si>
  <si>
    <t>Sub Fed Exmp State</t>
  </si>
  <si>
    <t>Sub State Exmp Fed</t>
  </si>
  <si>
    <t>#1 - 6</t>
  </si>
  <si>
    <t>#7-12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</si>
  <si>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</si>
  <si>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</si>
  <si>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</si>
  <si>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</si>
  <si>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</si>
  <si>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</si>
  <si>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</si>
  <si>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</si>
  <si>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</si>
  <si>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</si>
  <si>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</si>
  <si>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</si>
  <si>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</si>
  <si>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</si>
  <si>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</si>
  <si>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</si>
  <si>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</si>
  <si>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</si>
  <si>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</si>
  <si>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</si>
  <si>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</si>
  <si>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</si>
  <si>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</si>
  <si>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</si>
  <si>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</si>
  <si>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</si>
  <si>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</si>
  <si>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</si>
  <si>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</si>
  <si>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</si>
  <si>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</si>
  <si>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</si>
  <si>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</si>
  <si>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</si>
  <si>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</si>
  <si>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</si>
  <si>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</si>
  <si>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</si>
  <si>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</si>
  <si>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</si>
  <si>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</si>
  <si>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</si>
  <si>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</si>
  <si>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</si>
  <si>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</si>
  <si>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</si>
  <si>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</si>
  <si>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</si>
  <si>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</si>
  <si>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</si>
  <si>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</si>
  <si>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</si>
  <si>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</si>
  <si>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</si>
  <si>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</si>
  <si>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</si>
  <si>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</si>
  <si>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</si>
  <si>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</si>
  <si>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</si>
  <si>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</si>
  <si>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</si>
  <si>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</si>
  <si>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</si>
  <si>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</si>
  <si>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</si>
  <si>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</si>
  <si>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</si>
  <si>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</si>
  <si>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</si>
  <si>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</si>
  <si>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</si>
  <si>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</si>
  <si>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</si>
  <si>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</si>
  <si>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</si>
  <si>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</si>
  <si>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</si>
  <si>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</si>
  <si>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</si>
  <si>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</si>
  <si>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</si>
  <si>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</si>
  <si>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</si>
  <si>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</si>
  <si>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</si>
  <si>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</si>
  <si>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</si>
  <si>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</si>
  <si>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</si>
  <si>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</si>
  <si>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</si>
  <si>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</si>
  <si>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</si>
  <si>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</si>
  <si>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</si>
  <si>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</si>
  <si>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</si>
  <si>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</si>
  <si>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</si>
  <si>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</si>
  <si>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</si>
  <si>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</si>
  <si>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</si>
  <si>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</si>
  <si>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</si>
  <si>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</si>
  <si>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</si>
  <si>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</si>
  <si>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</si>
  <si>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</si>
  <si>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</si>
  <si>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</si>
  <si>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</si>
  <si>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</si>
  <si>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</si>
  <si>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</si>
  <si>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</si>
  <si>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</si>
  <si>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</si>
  <si>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</si>
  <si>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</si>
  <si>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</si>
  <si>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</si>
  <si>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</si>
  <si>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</si>
  <si>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</si>
  <si>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</si>
  <si>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</si>
  <si>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</si>
  <si>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</si>
  <si>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</si>
  <si>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</si>
  <si>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</si>
  <si>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</si>
  <si>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</si>
  <si>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</si>
  <si>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</si>
  <si>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</si>
  <si>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</si>
  <si>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</si>
  <si>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</si>
  <si>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</si>
  <si>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</si>
  <si>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</si>
  <si>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</si>
  <si>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</si>
  <si>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</si>
  <si>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</si>
  <si>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</si>
  <si>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</si>
  <si>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</si>
  <si>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</si>
  <si>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</si>
  <si>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</si>
  <si>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</si>
  <si>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</si>
  <si>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</si>
  <si>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</si>
  <si>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</si>
  <si>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</si>
  <si>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</si>
  <si>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</si>
  <si>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</si>
  <si>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</si>
  <si>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</si>
  <si>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</si>
  <si>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</si>
  <si>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</si>
  <si>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</si>
  <si>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</si>
  <si>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</si>
  <si>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</si>
  <si>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</si>
  <si>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</si>
  <si>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</si>
  <si>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</si>
  <si>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</si>
  <si>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</si>
  <si>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</si>
  <si>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</si>
  <si>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</si>
  <si>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</si>
  <si>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</si>
  <si>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</si>
  <si>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</si>
  <si>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</si>
  <si>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</si>
  <si>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</si>
  <si>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</si>
  <si>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</si>
  <si>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</si>
  <si>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</si>
  <si>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</si>
  <si>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</si>
  <si>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</si>
  <si>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</si>
  <si>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</si>
  <si>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</si>
  <si>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</si>
  <si>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</si>
  <si>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</si>
  <si>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</si>
  <si>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</si>
  <si>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</si>
  <si>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</si>
  <si>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</si>
  <si>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</si>
  <si>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</si>
  <si>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</si>
  <si>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</si>
  <si>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AD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</si>
  <si>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</si>
  <si>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</si>
  <si>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</si>
  <si>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</si>
  <si>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</si>
  <si>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</si>
  <si>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</si>
  <si>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</si>
  <si>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</si>
  <si>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</si>
  <si>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</si>
  <si>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</si>
  <si>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</si>
  <si>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</si>
  <si>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</si>
  <si>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</si>
  <si>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</si>
  <si>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</si>
  <si>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</si>
  <si>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</si>
  <si>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</si>
  <si>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</si>
  <si>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</si>
  <si>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</si>
  <si>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</si>
  <si>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</si>
  <si>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</si>
  <si>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</si>
  <si>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</si>
  <si>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</si>
  <si>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</si>
  <si>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</si>
  <si>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</si>
  <si>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</si>
  <si>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</si>
  <si>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</si>
  <si>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</si>
  <si>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</si>
  <si>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</si>
  <si>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</si>
  <si>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</si>
  <si>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</si>
  <si>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</si>
  <si>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</si>
  <si>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</si>
  <si>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</si>
  <si>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</si>
  <si>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</si>
  <si>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</si>
  <si>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</si>
  <si>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</si>
  <si>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</si>
  <si>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</si>
  <si>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</si>
  <si>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</si>
  <si>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</si>
  <si>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</si>
  <si>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</si>
  <si>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</si>
  <si>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</si>
  <si>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</si>
  <si>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</si>
  <si>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</si>
  <si>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</si>
  <si>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</si>
  <si>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</si>
  <si>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</si>
  <si>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</si>
  <si>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</si>
  <si>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</si>
  <si>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</si>
  <si>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</si>
  <si>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</si>
  <si>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</si>
  <si>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</si>
  <si>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</si>
  <si>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</si>
  <si>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</si>
  <si>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</si>
  <si>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</si>
  <si>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</si>
  <si>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</si>
  <si>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</si>
  <si>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</si>
  <si>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</si>
  <si>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</si>
  <si>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</si>
  <si>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CALIFORNIA STATE CONTROLLER'S OFFICE IDL SUPPLEMENTATION CALCULATOR - 2019</t>
  </si>
  <si>
    <t>EFF. 1/1/19</t>
  </si>
  <si>
    <t>rev. 12/17/19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</si>
</sst>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174" fontId="9" fillId="0" borderId="0" xfId="0" applyNumberFormat="1" applyFont="1" applyAlignment="1" applyProtection="1">
      <alignment/>
      <protection/>
    </xf>
    <xf numFmtId="174" fontId="9" fillId="0" borderId="0" xfId="0" applyNumberFormat="1" applyFont="1" applyAlignment="1" applyProtection="1">
      <alignment horizontal="right"/>
      <protection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4" fontId="9" fillId="0" borderId="0" xfId="42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174" fontId="9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184" fontId="17" fillId="0" borderId="0" xfId="0" applyNumberFormat="1" applyFont="1" applyFill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42" applyNumberFormat="1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94"/>
  <sheetViews>
    <sheetView showGridLines="0" tabSelected="1" workbookViewId="0" topLeftCell="A1">
      <selection activeCell="J17" sqref="J17"/>
    </sheetView>
  </sheetViews>
  <sheetFormatPr defaultColWidth="10.59765625" defaultRowHeight="15"/>
  <cols>
    <col min="1" max="1" width="20" style="6" customWidth="1"/>
    <col min="2" max="2" width="9.59765625" style="6" customWidth="1"/>
    <col min="3" max="3" width="13.09765625" style="6" customWidth="1"/>
    <col min="4" max="4" width="9.5976562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72" t="s">
        <v>589</v>
      </c>
      <c r="B1" s="173"/>
      <c r="C1" s="173"/>
      <c r="D1" s="173"/>
      <c r="E1" s="173"/>
      <c r="F1" s="173"/>
      <c r="G1" s="174"/>
      <c r="H1" s="174"/>
      <c r="J1" s="199" t="s">
        <v>292</v>
      </c>
      <c r="K1" s="199"/>
      <c r="L1" s="12"/>
      <c r="M1" s="124"/>
      <c r="N1" s="124"/>
      <c r="O1" s="124"/>
      <c r="P1" s="125"/>
      <c r="Q1" s="124"/>
      <c r="R1" s="124" t="s">
        <v>266</v>
      </c>
      <c r="S1" s="124"/>
      <c r="T1" s="123"/>
      <c r="V1" s="8" t="s">
        <v>0</v>
      </c>
      <c r="W1" s="8" t="s">
        <v>1</v>
      </c>
      <c r="X1" s="57" t="s">
        <v>155</v>
      </c>
      <c r="Y1" s="8"/>
      <c r="AA1" s="6" t="s">
        <v>195</v>
      </c>
      <c r="AF1" s="8" t="s">
        <v>2</v>
      </c>
      <c r="AK1" s="8" t="s">
        <v>3</v>
      </c>
      <c r="AP1" s="8"/>
    </row>
    <row r="2" spans="1:42" ht="27.75" customHeight="1" thickTop="1">
      <c r="A2" s="159" t="s">
        <v>157</v>
      </c>
      <c r="B2" s="160"/>
      <c r="C2" s="160"/>
      <c r="D2" s="160"/>
      <c r="E2" s="160"/>
      <c r="F2" s="160"/>
      <c r="G2" s="187" t="s">
        <v>590</v>
      </c>
      <c r="H2" s="15"/>
      <c r="J2" s="123" t="s">
        <v>186</v>
      </c>
      <c r="K2" s="124">
        <f>ROUND(SUM(K3:K5),2)</f>
        <v>0</v>
      </c>
      <c r="L2" s="135"/>
      <c r="M2" s="142" t="s">
        <v>173</v>
      </c>
      <c r="N2" s="124"/>
      <c r="O2" s="124"/>
      <c r="P2" s="124"/>
      <c r="Q2" s="124"/>
      <c r="R2" s="124" t="s">
        <v>267</v>
      </c>
      <c r="S2" s="189" t="str">
        <f>VLOOKUP(RETIREMENT_ID,RETID_TABLE,4)</f>
        <v>S</v>
      </c>
      <c r="T2" s="143" t="s">
        <v>5</v>
      </c>
      <c r="U2" s="127">
        <f>IF(S2="M",MD_,IF(S2="S",MD_,0))</f>
        <v>0.0145</v>
      </c>
      <c r="V2" s="123">
        <v>0.062</v>
      </c>
      <c r="W2" s="123">
        <v>0.0145</v>
      </c>
      <c r="X2" s="130">
        <v>0.01</v>
      </c>
      <c r="Z2" s="18" t="s">
        <v>196</v>
      </c>
      <c r="AA2" s="12" t="s">
        <v>197</v>
      </c>
      <c r="AB2" s="6" t="s">
        <v>13</v>
      </c>
      <c r="AC2" s="8" t="s">
        <v>293</v>
      </c>
      <c r="AF2" s="192">
        <v>4200</v>
      </c>
      <c r="AG2" s="193"/>
      <c r="AH2" s="193"/>
      <c r="AK2" s="8" t="s">
        <v>6</v>
      </c>
      <c r="AP2" s="8"/>
    </row>
    <row r="3" spans="1:42" ht="12.75">
      <c r="A3" s="161" t="s">
        <v>158</v>
      </c>
      <c r="B3" s="19">
        <v>4000</v>
      </c>
      <c r="C3" s="18" t="s">
        <v>342</v>
      </c>
      <c r="D3" s="20"/>
      <c r="E3" s="21"/>
      <c r="F3" s="18" t="s">
        <v>324</v>
      </c>
      <c r="G3" s="186" t="s">
        <v>150</v>
      </c>
      <c r="H3" s="22" t="s">
        <v>363</v>
      </c>
      <c r="J3" s="123" t="s">
        <v>187</v>
      </c>
      <c r="K3" s="148">
        <f>ROUND(IF(Salary_Per="H",REDUCED_SALARY*HOURS_OF_REGULAR_PAY,(REDUCED_SALARY/PAYPERIOD_HOURS)*HOURS_OF_REGULAR_PAY),2)</f>
        <v>0</v>
      </c>
      <c r="L3" s="149"/>
      <c r="M3" s="124">
        <f>REG_PAY_WITHHOLDING</f>
        <v>0</v>
      </c>
      <c r="N3" s="125" t="s">
        <v>545</v>
      </c>
      <c r="O3" s="129"/>
      <c r="P3" s="125"/>
      <c r="Q3" s="124"/>
      <c r="R3" s="124" t="s">
        <v>268</v>
      </c>
      <c r="S3" s="124">
        <f>IF(OR(PayFreq="M",PayFreq="S"),VLOOKUP(RETIREMENT_ID,RETID_TABLE,2),(VLOOKUP(RETIREMENT_ID,RETID_TABLE,2)*12)/26)</f>
        <v>513</v>
      </c>
      <c r="T3" s="143" t="s">
        <v>7</v>
      </c>
      <c r="U3" s="126">
        <f>ROUND(Gross_Net*MED_,2)</f>
        <v>0</v>
      </c>
      <c r="V3" s="123"/>
      <c r="W3" s="123"/>
      <c r="X3" s="130"/>
      <c r="Z3" s="9">
        <v>0</v>
      </c>
      <c r="AA3" s="114">
        <v>317</v>
      </c>
      <c r="AB3" s="119">
        <v>0.06</v>
      </c>
      <c r="AC3" s="8" t="s">
        <v>198</v>
      </c>
      <c r="AD3" s="8" t="s">
        <v>4</v>
      </c>
      <c r="AF3" s="193"/>
      <c r="AG3" s="193"/>
      <c r="AH3" s="193"/>
      <c r="AI3" s="35"/>
      <c r="AJ3" s="17"/>
      <c r="AK3" s="17">
        <v>1000</v>
      </c>
      <c r="AO3" s="17"/>
      <c r="AP3" s="17"/>
    </row>
    <row r="4" spans="1:34" ht="12.75">
      <c r="A4" s="161" t="s">
        <v>145</v>
      </c>
      <c r="B4" s="23" t="s">
        <v>300</v>
      </c>
      <c r="C4" s="9" t="s">
        <v>323</v>
      </c>
      <c r="D4" s="18"/>
      <c r="E4" s="24"/>
      <c r="F4" s="25"/>
      <c r="G4" s="18"/>
      <c r="H4" s="26"/>
      <c r="J4" s="123" t="s">
        <v>178</v>
      </c>
      <c r="K4" s="148">
        <f>ROUND(IF(Salary_Per="H",Salary_Rate*HOURS_IDL_FULL,(SALARY/PAYPERIOD_HOURS)*HOURS_IDL_FULL),2)</f>
        <v>0</v>
      </c>
      <c r="L4" s="135"/>
      <c r="M4" s="124">
        <f>ROUND(Reg_Net_Grs*OASDI_,2)</f>
        <v>0</v>
      </c>
      <c r="N4" s="124" t="s">
        <v>10</v>
      </c>
      <c r="O4" s="129"/>
      <c r="P4" s="125"/>
      <c r="Q4" s="124"/>
      <c r="R4" s="124" t="s">
        <v>269</v>
      </c>
      <c r="S4" s="124">
        <f>VLOOKUP(RETIREMENT_ID,RETID_TABLE,3)</f>
        <v>0.08</v>
      </c>
      <c r="T4" s="143" t="s">
        <v>8</v>
      </c>
      <c r="U4" s="127">
        <f>IF(S2="S",OA_,0)</f>
        <v>0.062</v>
      </c>
      <c r="V4" s="123" t="s">
        <v>4</v>
      </c>
      <c r="W4" s="123" t="s">
        <v>4</v>
      </c>
      <c r="X4" s="130"/>
      <c r="Z4" s="9">
        <v>1</v>
      </c>
      <c r="AA4" s="114">
        <v>0</v>
      </c>
      <c r="AB4" s="119">
        <v>0.0375</v>
      </c>
      <c r="AC4" s="8" t="s">
        <v>198</v>
      </c>
      <c r="AD4" s="8" t="s">
        <v>4</v>
      </c>
      <c r="AF4" s="194" t="s">
        <v>9</v>
      </c>
      <c r="AG4" s="193"/>
      <c r="AH4" s="193"/>
    </row>
    <row r="5" spans="1:41" ht="12.75">
      <c r="A5" s="161" t="s">
        <v>533</v>
      </c>
      <c r="B5" s="27" t="s">
        <v>150</v>
      </c>
      <c r="C5" s="18" t="s">
        <v>337</v>
      </c>
      <c r="D5" s="28">
        <v>22</v>
      </c>
      <c r="E5" s="29"/>
      <c r="F5" s="30" t="s">
        <v>167</v>
      </c>
      <c r="G5" s="31"/>
      <c r="H5" s="106"/>
      <c r="J5" s="123" t="s">
        <v>179</v>
      </c>
      <c r="K5" s="148">
        <f>(ROUND(IF(Salary_Per="H",Salary_Rate*K11,(SALARY/PAYPERIOD_HOURS)*K11),2))</f>
        <v>0</v>
      </c>
      <c r="L5" s="150"/>
      <c r="M5" s="124">
        <f>ROUND(Reg_Net_Grs*MED_,2)</f>
        <v>0</v>
      </c>
      <c r="N5" s="124" t="s">
        <v>270</v>
      </c>
      <c r="O5" s="129"/>
      <c r="P5" s="125"/>
      <c r="Q5" s="124"/>
      <c r="R5" s="124"/>
      <c r="S5" s="124"/>
      <c r="T5" s="143" t="s">
        <v>10</v>
      </c>
      <c r="U5" s="126">
        <f>ROUND(Gross_Net*OASDI_,2)</f>
        <v>0</v>
      </c>
      <c r="V5" s="145"/>
      <c r="W5" s="143"/>
      <c r="X5" s="141"/>
      <c r="Y5" s="8"/>
      <c r="Z5" s="9">
        <v>2</v>
      </c>
      <c r="AA5" s="114">
        <v>0</v>
      </c>
      <c r="AB5" s="119">
        <v>0</v>
      </c>
      <c r="AC5" s="8" t="s">
        <v>198</v>
      </c>
      <c r="AD5" s="8" t="s">
        <v>4</v>
      </c>
      <c r="AF5" s="194" t="s">
        <v>12</v>
      </c>
      <c r="AG5" s="194" t="s">
        <v>13</v>
      </c>
      <c r="AH5" s="194" t="s">
        <v>14</v>
      </c>
      <c r="AI5" s="8"/>
      <c r="AJ5" s="8" t="s">
        <v>15</v>
      </c>
      <c r="AO5" s="8"/>
    </row>
    <row r="6" spans="1:44" ht="12.75">
      <c r="A6" s="161" t="s">
        <v>160</v>
      </c>
      <c r="B6" s="133"/>
      <c r="C6" s="18" t="s">
        <v>333</v>
      </c>
      <c r="D6" s="20"/>
      <c r="E6" s="9" t="s">
        <v>334</v>
      </c>
      <c r="F6" s="10"/>
      <c r="G6" s="10"/>
      <c r="H6" s="106"/>
      <c r="I6" s="33"/>
      <c r="J6" s="123" t="s">
        <v>188</v>
      </c>
      <c r="K6" s="124">
        <f>IF(ISBLANK(Time_Base_Fraction),PAYPERIOD_DAYS*8,PAYPERIOD_DAYS*8*TIMEBASE)</f>
        <v>176</v>
      </c>
      <c r="L6" s="123"/>
      <c r="M6" s="124">
        <f>IF(SDI="yes",Reg_Net_Grs*X2,0)</f>
        <v>0</v>
      </c>
      <c r="N6" s="124" t="s">
        <v>151</v>
      </c>
      <c r="O6" s="129"/>
      <c r="P6" s="125"/>
      <c r="Q6" s="124"/>
      <c r="R6" s="124"/>
      <c r="S6" s="140"/>
      <c r="T6" s="143"/>
      <c r="U6" s="126"/>
      <c r="V6" s="143"/>
      <c r="W6" s="143"/>
      <c r="X6" s="130"/>
      <c r="Y6" s="17"/>
      <c r="Z6" s="9">
        <v>3</v>
      </c>
      <c r="AA6" s="114">
        <v>0</v>
      </c>
      <c r="AB6" s="119">
        <v>0.0375</v>
      </c>
      <c r="AC6" s="8" t="s">
        <v>199</v>
      </c>
      <c r="AD6" s="8" t="s">
        <v>4</v>
      </c>
      <c r="AF6" s="192">
        <v>-999999</v>
      </c>
      <c r="AG6" s="192">
        <v>0</v>
      </c>
      <c r="AH6" s="192">
        <v>0</v>
      </c>
      <c r="AI6" s="17"/>
      <c r="AK6" s="8" t="s">
        <v>16</v>
      </c>
      <c r="AM6" s="8" t="s">
        <v>17</v>
      </c>
      <c r="AP6" s="8"/>
      <c r="AR6" s="8"/>
    </row>
    <row r="7" spans="1:44" ht="12.75">
      <c r="A7" s="162" t="s">
        <v>161</v>
      </c>
      <c r="B7" s="34"/>
      <c r="C7" s="9"/>
      <c r="D7" s="10"/>
      <c r="E7" s="43"/>
      <c r="F7" s="10"/>
      <c r="G7" s="10"/>
      <c r="H7" s="22"/>
      <c r="I7" s="33"/>
      <c r="J7" s="123" t="s">
        <v>189</v>
      </c>
      <c r="K7" s="151">
        <f>IF(Salary_Per="H",ROUND(Salary_Rate,5),ROUND(SALARY/PAYPERIOD_HOURS,5))</f>
        <v>22.72727</v>
      </c>
      <c r="L7" s="123"/>
      <c r="M7" s="125"/>
      <c r="N7" s="124"/>
      <c r="O7" s="129"/>
      <c r="P7" s="125"/>
      <c r="Q7" s="124"/>
      <c r="R7" s="124" t="s">
        <v>291</v>
      </c>
      <c r="S7" s="124"/>
      <c r="T7" s="123"/>
      <c r="U7" s="123"/>
      <c r="V7" s="123"/>
      <c r="W7" s="123"/>
      <c r="X7" s="146"/>
      <c r="Y7" s="17"/>
      <c r="Z7" s="9">
        <v>4</v>
      </c>
      <c r="AA7" s="114">
        <v>0</v>
      </c>
      <c r="AB7" s="119">
        <v>0.0375</v>
      </c>
      <c r="AC7" s="8" t="s">
        <v>199</v>
      </c>
      <c r="AD7" s="8" t="s">
        <v>4</v>
      </c>
      <c r="AF7" s="192">
        <v>3800</v>
      </c>
      <c r="AG7" s="192">
        <v>0.1</v>
      </c>
      <c r="AH7" s="192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O7" s="32"/>
      <c r="AP7" s="32"/>
      <c r="AQ7" s="8"/>
      <c r="AR7" s="8"/>
    </row>
    <row r="8" spans="1:44" ht="12.75">
      <c r="A8" s="161" t="s">
        <v>162</v>
      </c>
      <c r="B8" s="37">
        <v>45</v>
      </c>
      <c r="C8" s="18" t="s">
        <v>163</v>
      </c>
      <c r="D8" s="38">
        <v>7</v>
      </c>
      <c r="E8" s="99" t="s">
        <v>339</v>
      </c>
      <c r="F8" s="38">
        <v>18</v>
      </c>
      <c r="G8" s="10"/>
      <c r="H8" s="39"/>
      <c r="J8" s="123"/>
      <c r="K8" s="151"/>
      <c r="L8" s="123"/>
      <c r="M8" s="142" t="s">
        <v>178</v>
      </c>
      <c r="N8" s="124"/>
      <c r="O8" s="129"/>
      <c r="P8" s="125"/>
      <c r="Q8" s="124"/>
      <c r="R8" s="124"/>
      <c r="S8" s="125"/>
      <c r="T8" s="123"/>
      <c r="U8" s="123"/>
      <c r="V8" s="123"/>
      <c r="W8" s="123"/>
      <c r="X8" s="130"/>
      <c r="Y8" s="17"/>
      <c r="Z8" s="9">
        <v>5</v>
      </c>
      <c r="AA8" s="114">
        <v>513</v>
      </c>
      <c r="AB8" s="119">
        <v>0.095</v>
      </c>
      <c r="AC8" s="8" t="s">
        <v>199</v>
      </c>
      <c r="AD8" s="8" t="s">
        <v>4</v>
      </c>
      <c r="AF8" s="192">
        <v>13500</v>
      </c>
      <c r="AG8" s="192">
        <v>0.12</v>
      </c>
      <c r="AH8" s="192">
        <v>970</v>
      </c>
      <c r="AI8" s="17"/>
      <c r="AJ8" s="197">
        <v>14573</v>
      </c>
      <c r="AK8" s="197">
        <v>14573</v>
      </c>
      <c r="AL8" s="197">
        <v>29146</v>
      </c>
      <c r="AM8" s="197">
        <v>29146</v>
      </c>
      <c r="AO8" s="40"/>
      <c r="AP8" s="40"/>
      <c r="AQ8" s="40"/>
      <c r="AR8" s="40"/>
    </row>
    <row r="9" spans="1:35" ht="12.75">
      <c r="A9" s="161" t="s">
        <v>194</v>
      </c>
      <c r="B9" s="41"/>
      <c r="C9" s="9" t="s">
        <v>362</v>
      </c>
      <c r="D9" s="42" t="s">
        <v>340</v>
      </c>
      <c r="E9" s="43"/>
      <c r="F9" s="44" t="s">
        <v>341</v>
      </c>
      <c r="G9" s="43"/>
      <c r="H9" s="22"/>
      <c r="J9" s="123" t="s">
        <v>190</v>
      </c>
      <c r="K9" s="124">
        <f>(Reg_Days*Time_Base_Hrs)+Reg_Hrs</f>
        <v>0</v>
      </c>
      <c r="L9" s="123"/>
      <c r="M9" s="124">
        <f>IDL_FULL_PAY_WITHHOLDING</f>
        <v>0</v>
      </c>
      <c r="N9" s="125" t="s">
        <v>545</v>
      </c>
      <c r="O9" s="129"/>
      <c r="P9" s="125"/>
      <c r="Q9" s="124"/>
      <c r="R9" s="124" t="s">
        <v>290</v>
      </c>
      <c r="S9" s="125">
        <f>Supple_Gross_Net/Divided_By</f>
        <v>0</v>
      </c>
      <c r="T9" s="127"/>
      <c r="U9" s="123"/>
      <c r="V9" s="123"/>
      <c r="W9" s="123"/>
      <c r="X9" s="130"/>
      <c r="Y9" s="17"/>
      <c r="Z9" s="9">
        <v>6</v>
      </c>
      <c r="AA9" s="114">
        <v>317</v>
      </c>
      <c r="AB9" s="119">
        <v>0.01</v>
      </c>
      <c r="AC9" s="8" t="s">
        <v>150</v>
      </c>
      <c r="AD9" s="8" t="s">
        <v>4</v>
      </c>
      <c r="AF9" s="192">
        <v>43275</v>
      </c>
      <c r="AG9" s="192">
        <v>0.22</v>
      </c>
      <c r="AH9" s="192">
        <v>4543</v>
      </c>
      <c r="AI9" s="17"/>
    </row>
    <row r="10" spans="1:41" ht="12.75">
      <c r="A10" s="161" t="s">
        <v>352</v>
      </c>
      <c r="B10" s="45"/>
      <c r="C10" s="9"/>
      <c r="D10" s="163">
        <v>41639</v>
      </c>
      <c r="E10" s="10" t="s">
        <v>335</v>
      </c>
      <c r="F10" s="10"/>
      <c r="G10" s="10"/>
      <c r="H10" s="22"/>
      <c r="J10" s="123" t="s">
        <v>191</v>
      </c>
      <c r="K10" s="124">
        <f>(IDL_Full_Days*Time_Base_Hrs)+IDL_Full_Hrs</f>
        <v>0</v>
      </c>
      <c r="L10" s="123"/>
      <c r="M10" s="124">
        <f>IF(IDL_Full=0,0,ROUND(M21-Reg_SS,2))</f>
        <v>0</v>
      </c>
      <c r="N10" s="124" t="s">
        <v>10</v>
      </c>
      <c r="O10" s="129"/>
      <c r="P10" s="125"/>
      <c r="Q10" s="124"/>
      <c r="R10" s="124" t="s">
        <v>172</v>
      </c>
      <c r="S10" s="125">
        <f>ROUND(Grs_Full_Supple/Org_Hr_Rate,0)</f>
        <v>0</v>
      </c>
      <c r="T10" s="126"/>
      <c r="U10" s="123"/>
      <c r="V10" s="123"/>
      <c r="W10" s="123"/>
      <c r="X10" s="130"/>
      <c r="Y10" s="17"/>
      <c r="Z10" s="9">
        <v>7</v>
      </c>
      <c r="AA10" s="114">
        <v>513</v>
      </c>
      <c r="AB10" s="119">
        <v>0.125</v>
      </c>
      <c r="AC10" s="8" t="s">
        <v>199</v>
      </c>
      <c r="AD10" s="8" t="s">
        <v>4</v>
      </c>
      <c r="AF10" s="192">
        <v>88000</v>
      </c>
      <c r="AG10" s="192">
        <v>0.24</v>
      </c>
      <c r="AH10" s="192">
        <v>14382.5</v>
      </c>
      <c r="AI10" s="17"/>
      <c r="AJ10" s="8" t="s">
        <v>25</v>
      </c>
      <c r="AO10" s="8"/>
    </row>
    <row r="11" spans="1:44" ht="12.75">
      <c r="A11" s="161" t="s">
        <v>151</v>
      </c>
      <c r="B11" s="46" t="str">
        <f>IF(LEFT(CBID,1)="R",VLOOKUP(CBID,SDI_CBID,2),"NO")</f>
        <v>YES</v>
      </c>
      <c r="C11" s="9"/>
      <c r="D11" s="163">
        <v>41639</v>
      </c>
      <c r="E11" s="10" t="s">
        <v>336</v>
      </c>
      <c r="F11" s="10"/>
      <c r="G11" s="10"/>
      <c r="H11" s="22"/>
      <c r="J11" s="123" t="s">
        <v>192</v>
      </c>
      <c r="K11" s="124">
        <f>(IDL_23_Days*Time_Base_Hrs)+IDL_23_Hrs</f>
        <v>0</v>
      </c>
      <c r="L11" s="123"/>
      <c r="M11" s="124">
        <f>IF(IDL_Full=0,0,ROUND(M22-Reg_Med,2))</f>
        <v>0</v>
      </c>
      <c r="N11" s="124" t="s">
        <v>270</v>
      </c>
      <c r="O11" s="129"/>
      <c r="P11" s="125"/>
      <c r="Q11" s="124"/>
      <c r="R11" s="124" t="s">
        <v>171</v>
      </c>
      <c r="S11" s="124">
        <f>IF(Salary_Per="H",0,ROUNDDOWN(S10/Time_Base_Hrs,0))</f>
        <v>0</v>
      </c>
      <c r="T11" s="127"/>
      <c r="U11" s="123"/>
      <c r="V11" s="123"/>
      <c r="W11" s="123"/>
      <c r="X11" s="130"/>
      <c r="Y11" s="17"/>
      <c r="Z11" s="9">
        <v>8</v>
      </c>
      <c r="AA11" s="114">
        <v>513</v>
      </c>
      <c r="AB11" s="119">
        <v>0.05</v>
      </c>
      <c r="AC11" s="8" t="s">
        <v>199</v>
      </c>
      <c r="AD11" s="8" t="s">
        <v>4</v>
      </c>
      <c r="AF11" s="192">
        <v>164525</v>
      </c>
      <c r="AG11" s="195">
        <v>0.32</v>
      </c>
      <c r="AH11" s="192">
        <v>32748.5</v>
      </c>
      <c r="AI11" s="17"/>
      <c r="AK11" s="8" t="s">
        <v>16</v>
      </c>
      <c r="AM11" s="8" t="s">
        <v>17</v>
      </c>
      <c r="AP11" s="8"/>
      <c r="AR11" s="8"/>
    </row>
    <row r="12" spans="1:44" ht="12.75">
      <c r="A12" s="162" t="s">
        <v>164</v>
      </c>
      <c r="B12" s="47"/>
      <c r="C12" s="9"/>
      <c r="D12" s="118">
        <f>LEFT(X7,10)</f>
      </c>
      <c r="E12" s="116">
        <f>Y7</f>
        <v>0</v>
      </c>
      <c r="F12" s="10"/>
      <c r="G12" s="10"/>
      <c r="H12" s="22"/>
      <c r="J12" s="123" t="s">
        <v>193</v>
      </c>
      <c r="K12" s="124">
        <f>HOURS_OF_REGULAR_PAY+HOURS_IDL_FULL+HOURS_IDL_23</f>
        <v>0</v>
      </c>
      <c r="L12" s="123"/>
      <c r="M12" s="124">
        <f>IF(IDL_Full=0,0,ROUND(M23-FTAX2,2))</f>
        <v>0</v>
      </c>
      <c r="N12" s="124" t="s">
        <v>271</v>
      </c>
      <c r="O12" s="129"/>
      <c r="P12" s="125"/>
      <c r="Q12" s="124"/>
      <c r="R12" s="124" t="s">
        <v>172</v>
      </c>
      <c r="S12" s="124">
        <f>IF(Salary_Per="H",S10,S10-(S11*Time_Base_Hrs))</f>
        <v>0</v>
      </c>
      <c r="T12" s="127"/>
      <c r="U12" s="123"/>
      <c r="V12" s="146"/>
      <c r="W12" s="132"/>
      <c r="X12" s="130"/>
      <c r="Y12" s="17"/>
      <c r="Z12" s="9">
        <v>9</v>
      </c>
      <c r="AA12" s="114">
        <v>513</v>
      </c>
      <c r="AB12" s="119">
        <v>0.08</v>
      </c>
      <c r="AC12" s="8" t="s">
        <v>199</v>
      </c>
      <c r="AD12" s="8" t="s">
        <v>4</v>
      </c>
      <c r="AF12" s="192">
        <v>207900</v>
      </c>
      <c r="AG12" s="195">
        <v>0.35</v>
      </c>
      <c r="AH12" s="192">
        <v>46628.5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O12" s="32"/>
      <c r="AP12" s="32"/>
      <c r="AQ12" s="8"/>
      <c r="AR12" s="8"/>
    </row>
    <row r="13" spans="1:44" ht="12.75">
      <c r="A13" s="161" t="s">
        <v>165</v>
      </c>
      <c r="B13" s="48" t="s">
        <v>150</v>
      </c>
      <c r="C13" s="18" t="s">
        <v>331</v>
      </c>
      <c r="D13" s="48">
        <v>0</v>
      </c>
      <c r="E13" s="9" t="s">
        <v>166</v>
      </c>
      <c r="F13" s="10"/>
      <c r="G13" s="10"/>
      <c r="H13" s="22"/>
      <c r="J13" s="143" t="s">
        <v>19</v>
      </c>
      <c r="K13" s="152">
        <f>+S4+V16</f>
        <v>0.08</v>
      </c>
      <c r="L13" s="147"/>
      <c r="M13" s="124">
        <f>IF(IDL_Full=0,0,ROUND(M24-STAX2,2))</f>
        <v>0</v>
      </c>
      <c r="N13" s="124" t="s">
        <v>272</v>
      </c>
      <c r="O13" s="129"/>
      <c r="P13" s="125"/>
      <c r="Q13" s="124"/>
      <c r="R13" s="128"/>
      <c r="S13" s="124"/>
      <c r="T13" s="127"/>
      <c r="U13" s="123"/>
      <c r="V13" s="123"/>
      <c r="W13" s="123"/>
      <c r="X13" s="130"/>
      <c r="Y13" s="17"/>
      <c r="Z13" s="9">
        <v>10</v>
      </c>
      <c r="AA13" s="114">
        <v>317</v>
      </c>
      <c r="AB13" s="119">
        <v>0.06</v>
      </c>
      <c r="AC13" s="8" t="s">
        <v>198</v>
      </c>
      <c r="AD13" s="8" t="s">
        <v>4</v>
      </c>
      <c r="AF13" s="192">
        <v>514100</v>
      </c>
      <c r="AG13" s="196">
        <v>0.37</v>
      </c>
      <c r="AH13" s="192">
        <v>153798.5</v>
      </c>
      <c r="AI13" s="17"/>
      <c r="AJ13" s="197">
        <v>4401</v>
      </c>
      <c r="AK13" s="197">
        <v>4401</v>
      </c>
      <c r="AL13" s="197">
        <v>8802</v>
      </c>
      <c r="AM13" s="197">
        <v>8802</v>
      </c>
      <c r="AO13" s="40"/>
      <c r="AP13" s="40"/>
      <c r="AQ13" s="40"/>
      <c r="AR13" s="40"/>
    </row>
    <row r="14" spans="1:35" ht="12.75">
      <c r="A14" s="161" t="s">
        <v>24</v>
      </c>
      <c r="B14" s="37" t="s">
        <v>150</v>
      </c>
      <c r="C14" s="18" t="s">
        <v>338</v>
      </c>
      <c r="D14" s="48">
        <v>0</v>
      </c>
      <c r="E14" s="9" t="s">
        <v>168</v>
      </c>
      <c r="F14" s="10"/>
      <c r="G14" s="9"/>
      <c r="H14" s="49" t="s">
        <v>4</v>
      </c>
      <c r="J14" s="143" t="s">
        <v>11</v>
      </c>
      <c r="K14" s="125">
        <f>ROUND(REG_RETIREMENT_WH+IDL_FULL_RETIREMENT_WH+IDL_23_RETIREMENT_WH,2)</f>
        <v>0</v>
      </c>
      <c r="L14" s="153"/>
      <c r="M14" s="125">
        <f>IF(IDL_Full=0,0,ROUND(M25-Reg_SDI,2))</f>
        <v>0</v>
      </c>
      <c r="N14" s="124" t="s">
        <v>151</v>
      </c>
      <c r="O14" s="129"/>
      <c r="P14" s="125"/>
      <c r="Q14" s="124"/>
      <c r="R14" s="128"/>
      <c r="S14" s="128"/>
      <c r="T14" s="127"/>
      <c r="U14" s="123"/>
      <c r="V14" s="123"/>
      <c r="W14" s="123"/>
      <c r="X14" s="130"/>
      <c r="Z14" s="9">
        <v>11</v>
      </c>
      <c r="AA14" s="114">
        <v>317</v>
      </c>
      <c r="AB14" s="119">
        <v>0.01</v>
      </c>
      <c r="AC14" s="8" t="s">
        <v>198</v>
      </c>
      <c r="AD14" s="8" t="s">
        <v>4</v>
      </c>
      <c r="AF14" s="192"/>
      <c r="AG14" s="192"/>
      <c r="AH14" s="192"/>
      <c r="AI14" s="13"/>
    </row>
    <row r="15" spans="1:45" ht="12.75">
      <c r="A15" s="161" t="s">
        <v>169</v>
      </c>
      <c r="B15" s="41"/>
      <c r="C15" s="51" t="s">
        <v>332</v>
      </c>
      <c r="D15" s="38">
        <v>8</v>
      </c>
      <c r="E15" s="99">
        <v>1</v>
      </c>
      <c r="F15" s="38">
        <v>18</v>
      </c>
      <c r="G15" s="9" t="s">
        <v>18</v>
      </c>
      <c r="H15" s="49"/>
      <c r="J15" s="143"/>
      <c r="K15" s="124"/>
      <c r="L15" s="154"/>
      <c r="M15" s="124">
        <f>SUM(M10:M14)</f>
        <v>0</v>
      </c>
      <c r="N15" s="124" t="s">
        <v>273</v>
      </c>
      <c r="O15" s="129"/>
      <c r="P15" s="125"/>
      <c r="Q15" s="124"/>
      <c r="R15" s="128"/>
      <c r="S15" s="129"/>
      <c r="T15" s="127"/>
      <c r="U15" s="143"/>
      <c r="V15" s="147"/>
      <c r="W15" s="123"/>
      <c r="X15" s="141"/>
      <c r="Y15" s="8"/>
      <c r="Z15" s="9">
        <v>12</v>
      </c>
      <c r="AA15" s="114">
        <v>317</v>
      </c>
      <c r="AB15" s="119">
        <v>0.06</v>
      </c>
      <c r="AC15" s="8" t="s">
        <v>150</v>
      </c>
      <c r="AD15" s="8" t="s">
        <v>4</v>
      </c>
      <c r="AF15" s="193"/>
      <c r="AG15" s="193"/>
      <c r="AH15" s="193"/>
      <c r="AJ15" s="8" t="s">
        <v>32</v>
      </c>
      <c r="AO15" s="107"/>
      <c r="AP15" s="108"/>
      <c r="AQ15" s="108"/>
      <c r="AR15" s="108"/>
      <c r="AS15" s="108"/>
    </row>
    <row r="16" spans="1:45" ht="12.75">
      <c r="A16" s="164"/>
      <c r="B16" s="10"/>
      <c r="C16" s="9"/>
      <c r="D16" s="42" t="s">
        <v>340</v>
      </c>
      <c r="E16" s="43"/>
      <c r="F16" s="44" t="s">
        <v>341</v>
      </c>
      <c r="G16" s="9"/>
      <c r="H16" s="49"/>
      <c r="J16" s="143"/>
      <c r="K16" s="124"/>
      <c r="L16" s="154"/>
      <c r="M16" s="124">
        <f>IF(IDL_Full=0,0,ROUND(IDL_Full-M15,2))</f>
        <v>0</v>
      </c>
      <c r="N16" s="124" t="s">
        <v>550</v>
      </c>
      <c r="O16" s="129"/>
      <c r="P16" s="125"/>
      <c r="Q16" s="124"/>
      <c r="R16" s="128"/>
      <c r="S16" s="129"/>
      <c r="T16" s="127"/>
      <c r="U16" s="143" t="s">
        <v>146</v>
      </c>
      <c r="V16" s="147">
        <f>VLOOKUP(CBID,U17:V40,2,FALSE)</f>
        <v>0</v>
      </c>
      <c r="W16" s="123"/>
      <c r="X16" s="130"/>
      <c r="Y16" s="8"/>
      <c r="Z16" s="9">
        <v>13</v>
      </c>
      <c r="AA16" s="114">
        <v>0</v>
      </c>
      <c r="AB16" s="119">
        <v>0.0375</v>
      </c>
      <c r="AC16" s="8" t="s">
        <v>150</v>
      </c>
      <c r="AD16" s="8" t="s">
        <v>4</v>
      </c>
      <c r="AF16" s="194" t="s">
        <v>4</v>
      </c>
      <c r="AG16" s="194" t="s">
        <v>31</v>
      </c>
      <c r="AH16" s="193"/>
      <c r="AI16" s="10"/>
      <c r="AJ16" s="121" t="s">
        <v>12</v>
      </c>
      <c r="AK16" s="121" t="s">
        <v>13</v>
      </c>
      <c r="AL16" s="121" t="s">
        <v>14</v>
      </c>
      <c r="AO16" s="107"/>
      <c r="AP16" s="107"/>
      <c r="AQ16" s="107"/>
      <c r="AR16" s="108"/>
      <c r="AS16" s="108"/>
    </row>
    <row r="17" spans="1:45" ht="15.75">
      <c r="A17" s="165" t="s">
        <v>170</v>
      </c>
      <c r="B17" s="52" t="s">
        <v>171</v>
      </c>
      <c r="C17" s="52" t="s">
        <v>172</v>
      </c>
      <c r="D17" s="10"/>
      <c r="E17" s="10"/>
      <c r="F17" s="18"/>
      <c r="G17" s="9"/>
      <c r="H17" s="49"/>
      <c r="J17" s="143" t="s">
        <v>152</v>
      </c>
      <c r="K17" s="124">
        <f>IF(SDI="Yes",SDIGRS*X2,0)</f>
        <v>0</v>
      </c>
      <c r="L17" s="154"/>
      <c r="M17" s="124"/>
      <c r="N17" s="124"/>
      <c r="O17" s="129"/>
      <c r="P17" s="125"/>
      <c r="Q17" s="124"/>
      <c r="R17" s="128"/>
      <c r="S17" s="129"/>
      <c r="T17" s="127"/>
      <c r="U17" s="143" t="s">
        <v>300</v>
      </c>
      <c r="V17" s="155">
        <v>0</v>
      </c>
      <c r="W17" s="123"/>
      <c r="X17" s="141"/>
      <c r="Y17" s="17"/>
      <c r="Z17" s="9">
        <v>14</v>
      </c>
      <c r="AA17" s="114">
        <v>0</v>
      </c>
      <c r="AB17" s="119">
        <v>0</v>
      </c>
      <c r="AC17" s="8" t="s">
        <v>198</v>
      </c>
      <c r="AD17" s="8" t="s">
        <v>4</v>
      </c>
      <c r="AE17" s="55"/>
      <c r="AF17" s="194" t="s">
        <v>12</v>
      </c>
      <c r="AG17" s="194" t="s">
        <v>13</v>
      </c>
      <c r="AH17" s="194" t="s">
        <v>14</v>
      </c>
      <c r="AI17" s="8"/>
      <c r="AJ17" s="197">
        <v>0</v>
      </c>
      <c r="AK17" s="198">
        <v>0.011</v>
      </c>
      <c r="AL17" s="192">
        <v>0</v>
      </c>
      <c r="AO17" s="109"/>
      <c r="AP17" s="110"/>
      <c r="AQ17" s="111"/>
      <c r="AR17" s="108"/>
      <c r="AS17" s="108"/>
    </row>
    <row r="18" spans="1:81" ht="15.75">
      <c r="A18" s="161" t="s">
        <v>173</v>
      </c>
      <c r="B18" s="54"/>
      <c r="C18" s="41"/>
      <c r="D18" s="166"/>
      <c r="E18" s="166"/>
      <c r="F18" s="166"/>
      <c r="G18" s="166"/>
      <c r="H18" s="56"/>
      <c r="I18" s="55"/>
      <c r="J18" s="141" t="s">
        <v>153</v>
      </c>
      <c r="K18" s="129">
        <f>Gross_Net</f>
        <v>0</v>
      </c>
      <c r="L18" s="130"/>
      <c r="M18" s="142" t="s">
        <v>179</v>
      </c>
      <c r="N18" s="124"/>
      <c r="O18" s="129"/>
      <c r="P18" s="144"/>
      <c r="Q18" s="144"/>
      <c r="R18" s="129"/>
      <c r="S18" s="129"/>
      <c r="T18" s="130"/>
      <c r="U18" s="141" t="s">
        <v>311</v>
      </c>
      <c r="V18" s="155">
        <v>0</v>
      </c>
      <c r="W18" s="130"/>
      <c r="X18" s="130"/>
      <c r="Y18" s="55"/>
      <c r="Z18" s="188">
        <v>15</v>
      </c>
      <c r="AA18" s="115">
        <v>238</v>
      </c>
      <c r="AB18" s="115">
        <v>0.06</v>
      </c>
      <c r="AC18" s="57" t="s">
        <v>198</v>
      </c>
      <c r="AD18" s="57" t="s">
        <v>4</v>
      </c>
      <c r="AE18" s="55"/>
      <c r="AF18" s="192">
        <v>-999999</v>
      </c>
      <c r="AG18" s="192">
        <v>0</v>
      </c>
      <c r="AH18" s="192">
        <v>0</v>
      </c>
      <c r="AI18" s="55"/>
      <c r="AJ18" s="197">
        <v>8544</v>
      </c>
      <c r="AK18" s="198">
        <v>0.022</v>
      </c>
      <c r="AL18" s="192">
        <v>93.98</v>
      </c>
      <c r="AM18" s="55"/>
      <c r="AN18" s="55"/>
      <c r="AO18" s="113"/>
      <c r="AP18" s="113"/>
      <c r="AQ18" s="113"/>
      <c r="AR18" s="113"/>
      <c r="AS18" s="113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</row>
    <row r="19" spans="1:81" ht="15.75">
      <c r="A19" s="161" t="s">
        <v>174</v>
      </c>
      <c r="B19" s="54"/>
      <c r="C19" s="41"/>
      <c r="D19" s="166"/>
      <c r="E19" s="166"/>
      <c r="F19" s="166"/>
      <c r="G19" s="166"/>
      <c r="H19" s="56"/>
      <c r="I19" s="55"/>
      <c r="J19" s="123"/>
      <c r="K19" s="124"/>
      <c r="L19" s="130"/>
      <c r="M19" s="124">
        <f>IDL_23_PAY_WITHHOLDING</f>
        <v>0</v>
      </c>
      <c r="N19" s="125" t="s">
        <v>545</v>
      </c>
      <c r="O19" s="129"/>
      <c r="P19" s="125"/>
      <c r="Q19" s="124"/>
      <c r="R19" s="129"/>
      <c r="S19" s="129"/>
      <c r="T19" s="130"/>
      <c r="U19" s="141" t="s">
        <v>302</v>
      </c>
      <c r="V19" s="155">
        <v>0</v>
      </c>
      <c r="W19" s="130"/>
      <c r="X19" s="130"/>
      <c r="Y19" s="55"/>
      <c r="Z19" s="188">
        <v>16</v>
      </c>
      <c r="AA19" s="115">
        <v>238</v>
      </c>
      <c r="AB19" s="115">
        <v>0.06</v>
      </c>
      <c r="AC19" s="57" t="s">
        <v>150</v>
      </c>
      <c r="AD19" s="57" t="s">
        <v>4</v>
      </c>
      <c r="AE19" s="55"/>
      <c r="AF19" s="192">
        <v>11800</v>
      </c>
      <c r="AG19" s="192">
        <v>0.1</v>
      </c>
      <c r="AH19" s="192">
        <v>0</v>
      </c>
      <c r="AI19" s="55"/>
      <c r="AJ19" s="197">
        <v>20255</v>
      </c>
      <c r="AK19" s="198">
        <v>0.044</v>
      </c>
      <c r="AL19" s="192">
        <v>351.62</v>
      </c>
      <c r="AM19" s="55"/>
      <c r="AN19" s="55"/>
      <c r="AO19" s="113"/>
      <c r="AP19" s="113"/>
      <c r="AQ19" s="113"/>
      <c r="AR19" s="113"/>
      <c r="AS19" s="113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61" t="s">
        <v>175</v>
      </c>
      <c r="B20" s="54"/>
      <c r="C20" s="41"/>
      <c r="D20" s="166"/>
      <c r="E20" s="166"/>
      <c r="F20" s="166"/>
      <c r="G20" s="166"/>
      <c r="H20" s="56"/>
      <c r="I20" s="55"/>
      <c r="J20" s="141" t="s">
        <v>530</v>
      </c>
      <c r="K20" s="129">
        <f>IF(Days_in_Pay_Period=22,22,21)</f>
        <v>22</v>
      </c>
      <c r="L20" s="130"/>
      <c r="M20" s="124">
        <f>IF(IDL_Full=0,0,REG_RETIREMENT_WH+IDL_FULL_RETIREMENT_WH)</f>
        <v>0</v>
      </c>
      <c r="N20" s="124" t="s">
        <v>356</v>
      </c>
      <c r="O20" s="129"/>
      <c r="P20" s="125"/>
      <c r="Q20" s="124"/>
      <c r="R20" s="129"/>
      <c r="S20" s="129"/>
      <c r="T20" s="130"/>
      <c r="U20" s="141" t="s">
        <v>303</v>
      </c>
      <c r="V20" s="155">
        <v>0</v>
      </c>
      <c r="W20" s="130"/>
      <c r="X20" s="141"/>
      <c r="Y20" s="55"/>
      <c r="Z20" s="188">
        <v>17</v>
      </c>
      <c r="AA20" s="115">
        <v>317</v>
      </c>
      <c r="AB20" s="115">
        <v>0.06</v>
      </c>
      <c r="AC20" s="57" t="s">
        <v>150</v>
      </c>
      <c r="AD20" s="57" t="s">
        <v>4</v>
      </c>
      <c r="AE20" s="55"/>
      <c r="AF20" s="192">
        <v>31200</v>
      </c>
      <c r="AG20" s="192">
        <v>0.12</v>
      </c>
      <c r="AH20" s="192">
        <v>1940</v>
      </c>
      <c r="AI20" s="55"/>
      <c r="AJ20" s="197">
        <v>31969</v>
      </c>
      <c r="AK20" s="198">
        <v>0.066</v>
      </c>
      <c r="AL20" s="192">
        <v>867.04</v>
      </c>
      <c r="AM20" s="55"/>
      <c r="AN20" s="55"/>
      <c r="AO20" s="113"/>
      <c r="AP20" s="113"/>
      <c r="AQ20" s="113"/>
      <c r="AR20" s="113"/>
      <c r="AS20" s="113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45" ht="16.5" thickBot="1">
      <c r="A21" s="164"/>
      <c r="B21" s="61"/>
      <c r="C21" s="62"/>
      <c r="D21" s="10"/>
      <c r="E21" s="10"/>
      <c r="F21" s="11"/>
      <c r="G21" s="11"/>
      <c r="H21" s="63"/>
      <c r="J21" s="141" t="s">
        <v>529</v>
      </c>
      <c r="K21" s="129">
        <f>IF(ISBLANK(Time_Base_Fraction),1,Time_Base_Fraction)</f>
        <v>1</v>
      </c>
      <c r="L21" s="130"/>
      <c r="M21" s="124">
        <f>IF(IDL_Full=0,0,ROUND((Reg_Net_Grs+IDL_Full)*OASDI_,2))</f>
        <v>0</v>
      </c>
      <c r="N21" s="124" t="s">
        <v>357</v>
      </c>
      <c r="O21" s="124"/>
      <c r="P21" s="125"/>
      <c r="Q21" s="124"/>
      <c r="R21" s="129"/>
      <c r="S21" s="131"/>
      <c r="T21" s="123"/>
      <c r="U21" s="143" t="s">
        <v>312</v>
      </c>
      <c r="V21" s="155">
        <v>0</v>
      </c>
      <c r="W21" s="123"/>
      <c r="X21" s="141"/>
      <c r="Y21" s="17"/>
      <c r="Z21" s="9">
        <v>18</v>
      </c>
      <c r="AA21" s="114">
        <v>317</v>
      </c>
      <c r="AB21" s="119">
        <v>0.06</v>
      </c>
      <c r="AC21" s="8" t="s">
        <v>198</v>
      </c>
      <c r="AD21" s="8" t="s">
        <v>4</v>
      </c>
      <c r="AF21" s="192">
        <v>90750</v>
      </c>
      <c r="AG21" s="192">
        <v>0.22</v>
      </c>
      <c r="AH21" s="192">
        <v>9086</v>
      </c>
      <c r="AI21" s="17"/>
      <c r="AJ21" s="197">
        <v>44377</v>
      </c>
      <c r="AK21" s="198">
        <v>0.088</v>
      </c>
      <c r="AL21" s="192">
        <v>1685.97</v>
      </c>
      <c r="AO21" s="109"/>
      <c r="AP21" s="110"/>
      <c r="AQ21" s="111"/>
      <c r="AR21" s="108"/>
      <c r="AS21" s="108"/>
    </row>
    <row r="22" spans="1:45" ht="17.25" thickBot="1" thickTop="1">
      <c r="A22" s="164"/>
      <c r="B22" s="66" t="s">
        <v>176</v>
      </c>
      <c r="C22" s="67" t="s">
        <v>177</v>
      </c>
      <c r="D22" s="184" t="s">
        <v>178</v>
      </c>
      <c r="E22" s="185"/>
      <c r="F22" s="67" t="s">
        <v>179</v>
      </c>
      <c r="G22" s="68"/>
      <c r="H22" s="69"/>
      <c r="J22" s="124" t="s">
        <v>299</v>
      </c>
      <c r="K22" s="152">
        <f>IF(ISBLANK(Time_Base_Fraction),8,8*Time_Base_Fraction)</f>
        <v>8</v>
      </c>
      <c r="L22" s="130"/>
      <c r="M22" s="124">
        <f>IF(IDL_Full=0,0,ROUND((Reg_Net_Grs+IDL_Full)*MED_,2))</f>
        <v>0</v>
      </c>
      <c r="N22" s="124" t="s">
        <v>358</v>
      </c>
      <c r="O22" s="124"/>
      <c r="P22" s="125"/>
      <c r="Q22" s="124"/>
      <c r="R22" s="129"/>
      <c r="S22" s="131"/>
      <c r="T22" s="123"/>
      <c r="U22" s="143" t="s">
        <v>313</v>
      </c>
      <c r="V22" s="155">
        <v>0</v>
      </c>
      <c r="W22" s="123"/>
      <c r="X22" s="141"/>
      <c r="Y22" s="17"/>
      <c r="Z22" s="9">
        <v>19</v>
      </c>
      <c r="AA22" s="114">
        <v>317</v>
      </c>
      <c r="AB22" s="119">
        <v>0.11</v>
      </c>
      <c r="AC22" s="8" t="s">
        <v>150</v>
      </c>
      <c r="AD22" s="8" t="s">
        <v>4</v>
      </c>
      <c r="AF22" s="192">
        <v>180200</v>
      </c>
      <c r="AG22" s="192">
        <v>0.24</v>
      </c>
      <c r="AH22" s="192">
        <v>28765</v>
      </c>
      <c r="AI22" s="17"/>
      <c r="AJ22" s="197">
        <v>56085</v>
      </c>
      <c r="AK22" s="198">
        <v>0.1023</v>
      </c>
      <c r="AL22" s="192">
        <v>2716.27</v>
      </c>
      <c r="AO22" s="109"/>
      <c r="AP22" s="110"/>
      <c r="AQ22" s="111"/>
      <c r="AR22" s="108"/>
      <c r="AS22" s="108"/>
    </row>
    <row r="23" spans="1:45" ht="16.5" thickTop="1">
      <c r="A23" s="167" t="s">
        <v>180</v>
      </c>
      <c r="B23" s="70">
        <f>Gross_Net</f>
        <v>0</v>
      </c>
      <c r="C23" s="176">
        <f>Reg_Net_Grs</f>
        <v>0</v>
      </c>
      <c r="D23" s="176">
        <f>IDL_Grs</f>
        <v>0</v>
      </c>
      <c r="E23" s="179"/>
      <c r="F23" s="71">
        <f>IDL_23_Grs</f>
        <v>0</v>
      </c>
      <c r="G23" s="68"/>
      <c r="H23" s="72"/>
      <c r="J23" s="156" t="s">
        <v>534</v>
      </c>
      <c r="K23" s="135">
        <f>IF(Salary_Per="H",Salary_Rate,Salary_Rate*TIMEBASE)</f>
        <v>4000</v>
      </c>
      <c r="L23" s="130"/>
      <c r="M23" s="124">
        <f>FTAX3</f>
        <v>0</v>
      </c>
      <c r="N23" s="124" t="s">
        <v>359</v>
      </c>
      <c r="O23" s="124"/>
      <c r="P23" s="125"/>
      <c r="Q23" s="124"/>
      <c r="R23" s="129"/>
      <c r="S23" s="124"/>
      <c r="T23" s="123"/>
      <c r="U23" s="143" t="s">
        <v>314</v>
      </c>
      <c r="V23" s="155">
        <v>0</v>
      </c>
      <c r="W23" s="123"/>
      <c r="X23" s="141"/>
      <c r="Y23" s="17"/>
      <c r="Z23" s="9">
        <v>20</v>
      </c>
      <c r="AA23" s="114">
        <v>317</v>
      </c>
      <c r="AB23" s="119">
        <v>0.1</v>
      </c>
      <c r="AC23" s="8" t="s">
        <v>150</v>
      </c>
      <c r="AD23" s="8" t="s">
        <v>4</v>
      </c>
      <c r="AF23" s="192">
        <v>333250</v>
      </c>
      <c r="AG23" s="192">
        <v>0.32</v>
      </c>
      <c r="AH23" s="192">
        <v>65497</v>
      </c>
      <c r="AI23" s="17"/>
      <c r="AJ23" s="197">
        <v>286492</v>
      </c>
      <c r="AK23" s="198">
        <v>0.1133</v>
      </c>
      <c r="AL23" s="192">
        <v>26286.91</v>
      </c>
      <c r="AO23" s="109"/>
      <c r="AP23" s="110"/>
      <c r="AQ23" s="111"/>
      <c r="AR23" s="108"/>
      <c r="AS23" s="108"/>
    </row>
    <row r="24" spans="1:45" ht="15.75">
      <c r="A24" s="168" t="s">
        <v>181</v>
      </c>
      <c r="B24" s="49">
        <f>EPMC</f>
        <v>0</v>
      </c>
      <c r="C24" s="177">
        <f>REG_RETIREMENT_WH</f>
        <v>0</v>
      </c>
      <c r="D24" s="177">
        <f>IDL_FULL_RETIREMENT_WH</f>
        <v>0</v>
      </c>
      <c r="E24" s="49"/>
      <c r="F24" s="73">
        <f>IDL_23_RETIREMENT_WH</f>
        <v>0</v>
      </c>
      <c r="G24" s="68"/>
      <c r="H24" s="72"/>
      <c r="J24" s="141" t="s">
        <v>535</v>
      </c>
      <c r="K24" s="135">
        <f>IF(HAS_REDUCED_SALARY=FALSE,SALARY,ROUND(Red_Sal_Rate*TIMEBASE,2))</f>
        <v>4000</v>
      </c>
      <c r="L24" s="130"/>
      <c r="M24" s="124">
        <f>STAX3</f>
        <v>0</v>
      </c>
      <c r="N24" s="124" t="s">
        <v>360</v>
      </c>
      <c r="O24" s="124"/>
      <c r="P24" s="125"/>
      <c r="Q24" s="124"/>
      <c r="R24" s="124"/>
      <c r="S24" s="124"/>
      <c r="T24" s="123"/>
      <c r="U24" s="143" t="s">
        <v>315</v>
      </c>
      <c r="V24" s="155">
        <v>0</v>
      </c>
      <c r="W24" s="123"/>
      <c r="X24" s="130"/>
      <c r="Y24" s="17"/>
      <c r="Z24" s="9">
        <v>21</v>
      </c>
      <c r="AA24" s="114">
        <v>0</v>
      </c>
      <c r="AB24" s="119">
        <v>0</v>
      </c>
      <c r="AC24" s="8" t="s">
        <v>150</v>
      </c>
      <c r="AD24" s="8" t="s">
        <v>4</v>
      </c>
      <c r="AF24" s="192">
        <v>420000</v>
      </c>
      <c r="AG24" s="195">
        <v>0.35</v>
      </c>
      <c r="AH24" s="192">
        <v>93257</v>
      </c>
      <c r="AI24" s="17"/>
      <c r="AJ24" s="197">
        <v>343788</v>
      </c>
      <c r="AK24" s="198">
        <v>0.1243</v>
      </c>
      <c r="AL24" s="192">
        <v>32778.55</v>
      </c>
      <c r="AO24" s="109"/>
      <c r="AP24" s="110"/>
      <c r="AQ24" s="111"/>
      <c r="AR24" s="108"/>
      <c r="AS24" s="108"/>
    </row>
    <row r="25" spans="1:45" ht="15.75">
      <c r="A25" s="168" t="s">
        <v>182</v>
      </c>
      <c r="B25" s="49">
        <f>OASDI</f>
        <v>0</v>
      </c>
      <c r="C25" s="177">
        <f>Reg_SS</f>
        <v>0</v>
      </c>
      <c r="D25" s="78"/>
      <c r="E25" s="72"/>
      <c r="F25" s="74"/>
      <c r="G25" s="68"/>
      <c r="H25" s="72"/>
      <c r="I25" s="12"/>
      <c r="J25" s="137" t="s">
        <v>536</v>
      </c>
      <c r="K25" s="135">
        <f>REDUCED_SALARY-Locked_in_Pay</f>
        <v>4000</v>
      </c>
      <c r="L25" s="130"/>
      <c r="M25" s="124">
        <f>IF(OR(IDL_Full=0,SDI="NO"),0,(ROUND((Reg_Net_Grs+IDL_Full)*X2,2)))</f>
        <v>0</v>
      </c>
      <c r="N25" s="124" t="s">
        <v>361</v>
      </c>
      <c r="O25" s="124"/>
      <c r="P25" s="125"/>
      <c r="Q25" s="124"/>
      <c r="R25" s="129"/>
      <c r="S25" s="124"/>
      <c r="T25" s="123"/>
      <c r="U25" s="143" t="s">
        <v>316</v>
      </c>
      <c r="V25" s="155">
        <v>0</v>
      </c>
      <c r="W25" s="123"/>
      <c r="X25" s="130"/>
      <c r="Y25" s="17"/>
      <c r="Z25" s="9">
        <v>22</v>
      </c>
      <c r="AA25" s="114">
        <v>0</v>
      </c>
      <c r="AB25" s="119">
        <v>0</v>
      </c>
      <c r="AC25" s="8" t="s">
        <v>150</v>
      </c>
      <c r="AD25" s="8" t="s">
        <v>4</v>
      </c>
      <c r="AF25" s="192">
        <v>624150</v>
      </c>
      <c r="AG25" s="196">
        <v>0.37</v>
      </c>
      <c r="AH25" s="192">
        <v>164709.5</v>
      </c>
      <c r="AI25" s="17"/>
      <c r="AJ25" s="197">
        <v>572980</v>
      </c>
      <c r="AK25" s="198">
        <v>0.1353</v>
      </c>
      <c r="AL25" s="192">
        <v>61267.12</v>
      </c>
      <c r="AO25" s="109"/>
      <c r="AP25" s="110"/>
      <c r="AQ25" s="111"/>
      <c r="AR25" s="108"/>
      <c r="AS25" s="108"/>
    </row>
    <row r="26" spans="1:45" ht="15.75">
      <c r="A26" s="168" t="s">
        <v>183</v>
      </c>
      <c r="B26" s="49">
        <f>MED</f>
        <v>0</v>
      </c>
      <c r="C26" s="177">
        <f>Reg_Med</f>
        <v>0</v>
      </c>
      <c r="D26" s="78"/>
      <c r="E26" s="72"/>
      <c r="F26" s="74"/>
      <c r="G26" s="68"/>
      <c r="H26" s="72"/>
      <c r="I26" s="12"/>
      <c r="J26" s="140" t="s">
        <v>532</v>
      </c>
      <c r="K26" s="157">
        <f>SALARY-Locked_in_Pay</f>
        <v>4000</v>
      </c>
      <c r="L26" s="130"/>
      <c r="M26" s="124">
        <f>ROUND((IDL_2_3/3)*2,2)</f>
        <v>0</v>
      </c>
      <c r="N26" s="124" t="s">
        <v>549</v>
      </c>
      <c r="O26" s="124"/>
      <c r="P26" s="125"/>
      <c r="Q26" s="124"/>
      <c r="R26" s="124" t="s">
        <v>301</v>
      </c>
      <c r="S26" s="124"/>
      <c r="T26" s="123"/>
      <c r="U26" s="143" t="s">
        <v>317</v>
      </c>
      <c r="V26" s="155">
        <v>0</v>
      </c>
      <c r="W26" s="123"/>
      <c r="X26" s="130"/>
      <c r="Z26" s="9">
        <v>23</v>
      </c>
      <c r="AA26" s="114">
        <v>317</v>
      </c>
      <c r="AB26" s="119">
        <v>0.06</v>
      </c>
      <c r="AC26" s="8" t="s">
        <v>150</v>
      </c>
      <c r="AD26" s="8" t="s">
        <v>4</v>
      </c>
      <c r="AF26" s="17"/>
      <c r="AG26" s="17"/>
      <c r="AH26" s="17"/>
      <c r="AI26" s="17"/>
      <c r="AJ26" s="197">
        <v>1000000</v>
      </c>
      <c r="AK26" s="198">
        <v>0.1463</v>
      </c>
      <c r="AL26" s="192">
        <v>119042.93</v>
      </c>
      <c r="AO26" s="109"/>
      <c r="AP26" s="110"/>
      <c r="AQ26" s="111"/>
      <c r="AR26" s="108"/>
      <c r="AS26" s="108"/>
    </row>
    <row r="27" spans="1:45" ht="15.75">
      <c r="A27" s="168" t="s">
        <v>184</v>
      </c>
      <c r="B27" s="49">
        <f>FTAX1</f>
        <v>0</v>
      </c>
      <c r="C27" s="177">
        <f>FTAX2</f>
        <v>0</v>
      </c>
      <c r="D27" s="78"/>
      <c r="E27" s="72"/>
      <c r="F27" s="74"/>
      <c r="G27" s="68"/>
      <c r="H27" s="72"/>
      <c r="I27" s="12"/>
      <c r="J27" s="137" t="s">
        <v>540</v>
      </c>
      <c r="K27" s="135">
        <f>IF(APPLY_EXCLUSION=TRUE,RET_EXCLUSION_AMT,0)</f>
        <v>513</v>
      </c>
      <c r="L27" s="130"/>
      <c r="M27" s="124"/>
      <c r="N27" s="124"/>
      <c r="O27" s="124"/>
      <c r="P27" s="125"/>
      <c r="Q27" s="124"/>
      <c r="R27" s="124" t="s">
        <v>300</v>
      </c>
      <c r="S27" s="124" t="s">
        <v>310</v>
      </c>
      <c r="T27" s="127"/>
      <c r="U27" s="143" t="s">
        <v>304</v>
      </c>
      <c r="V27" s="155">
        <v>0</v>
      </c>
      <c r="W27" s="123"/>
      <c r="X27" s="130"/>
      <c r="Z27" s="9">
        <v>24</v>
      </c>
      <c r="AA27" s="114">
        <v>513</v>
      </c>
      <c r="AB27" s="119">
        <v>0.08</v>
      </c>
      <c r="AC27" s="8" t="s">
        <v>199</v>
      </c>
      <c r="AD27" s="8" t="s">
        <v>4</v>
      </c>
      <c r="AJ27" s="197">
        <v>9999999</v>
      </c>
      <c r="AK27" s="198">
        <v>0.1463</v>
      </c>
      <c r="AL27" s="192">
        <v>119042.93</v>
      </c>
      <c r="AO27" s="109"/>
      <c r="AP27" s="110"/>
      <c r="AQ27" s="111"/>
      <c r="AR27" s="108"/>
      <c r="AS27" s="108"/>
    </row>
    <row r="28" spans="1:45" ht="15.75">
      <c r="A28" s="168" t="s">
        <v>185</v>
      </c>
      <c r="B28" s="49">
        <f>STAX1</f>
        <v>0</v>
      </c>
      <c r="C28" s="177">
        <f>STAX2</f>
        <v>0</v>
      </c>
      <c r="D28" s="78"/>
      <c r="E28" s="72"/>
      <c r="F28" s="74"/>
      <c r="G28" s="68"/>
      <c r="H28" s="72"/>
      <c r="I28" s="12"/>
      <c r="J28" s="140" t="s">
        <v>528</v>
      </c>
      <c r="K28" s="140" t="b">
        <f>IF(OR(PayFreq&lt;&gt;"S",LEFT(Ret_SM_Exl_Apply,1)="Y"),TRUE,FALSE)</f>
        <v>1</v>
      </c>
      <c r="L28" s="130"/>
      <c r="M28" s="124"/>
      <c r="N28" s="124"/>
      <c r="O28" s="124"/>
      <c r="P28" s="125"/>
      <c r="Q28" s="124"/>
      <c r="R28" s="124" t="s">
        <v>311</v>
      </c>
      <c r="S28" s="124" t="s">
        <v>156</v>
      </c>
      <c r="T28" s="127"/>
      <c r="U28" s="143" t="s">
        <v>318</v>
      </c>
      <c r="V28" s="155">
        <v>0</v>
      </c>
      <c r="W28" s="123"/>
      <c r="X28" s="130"/>
      <c r="Z28" s="9">
        <v>25</v>
      </c>
      <c r="AA28" s="114">
        <v>513</v>
      </c>
      <c r="AB28" s="119">
        <v>0.125</v>
      </c>
      <c r="AC28" s="8" t="s">
        <v>199</v>
      </c>
      <c r="AD28" s="8" t="s">
        <v>4</v>
      </c>
      <c r="AJ28" s="122"/>
      <c r="AK28" s="122"/>
      <c r="AL28" s="122"/>
      <c r="AO28" s="108"/>
      <c r="AP28" s="108"/>
      <c r="AQ28" s="108"/>
      <c r="AR28" s="108"/>
      <c r="AS28" s="108"/>
    </row>
    <row r="29" spans="1:45" ht="15.75">
      <c r="A29" s="168" t="s">
        <v>154</v>
      </c>
      <c r="B29" s="49">
        <f>SDI1</f>
        <v>0</v>
      </c>
      <c r="C29" s="177">
        <f>Reg_SDI</f>
        <v>0</v>
      </c>
      <c r="D29" s="78"/>
      <c r="E29" s="72"/>
      <c r="F29" s="74"/>
      <c r="G29" s="68"/>
      <c r="H29" s="72"/>
      <c r="I29" s="12"/>
      <c r="J29" s="140" t="s">
        <v>531</v>
      </c>
      <c r="K29" s="140" t="b">
        <f>IF(OR(ISBLANK(Red_Sal_Rate),Red_Sal_Rate&lt;=0),FALSE,TRUE)</f>
        <v>0</v>
      </c>
      <c r="L29" s="130"/>
      <c r="M29" s="136" t="s">
        <v>173</v>
      </c>
      <c r="N29" s="135">
        <f>ROUND(IF(Salary_Per="H",REDUCED_SALARY*HOURS_OF_REGULAR_PAY,(REDUCED_SALARY/PAYPERIOD_HOURS)*HOURS_OF_REGULAR_PAY),2)</f>
        <v>0</v>
      </c>
      <c r="O29" s="124"/>
      <c r="P29" s="125"/>
      <c r="Q29" s="124"/>
      <c r="R29" s="124" t="s">
        <v>302</v>
      </c>
      <c r="S29" s="124" t="s">
        <v>310</v>
      </c>
      <c r="T29" s="127"/>
      <c r="U29" s="143" t="s">
        <v>319</v>
      </c>
      <c r="V29" s="155">
        <v>0</v>
      </c>
      <c r="W29" s="123"/>
      <c r="X29" s="130"/>
      <c r="Z29" s="9">
        <v>27</v>
      </c>
      <c r="AA29" s="114">
        <v>513</v>
      </c>
      <c r="AB29" s="119">
        <v>0.08</v>
      </c>
      <c r="AC29" s="8" t="s">
        <v>199</v>
      </c>
      <c r="AD29" s="8" t="s">
        <v>4</v>
      </c>
      <c r="AJ29" s="121" t="s">
        <v>45</v>
      </c>
      <c r="AK29" s="122"/>
      <c r="AL29" s="122"/>
      <c r="AO29" s="107"/>
      <c r="AP29" s="108"/>
      <c r="AQ29" s="108"/>
      <c r="AR29" s="108"/>
      <c r="AS29" s="108"/>
    </row>
    <row r="30" spans="1:45" ht="16.5" thickBot="1">
      <c r="A30" s="168" t="s">
        <v>186</v>
      </c>
      <c r="B30" s="75">
        <f>ROUND(B23-(ROUND(SUM(B24:B29),2)),2)</f>
        <v>0</v>
      </c>
      <c r="C30" s="178">
        <f>ROUND(C23-(SUM(C24:C29)),2)</f>
        <v>0</v>
      </c>
      <c r="D30" s="178">
        <f>ROUND(D23-D24,2)</f>
        <v>0</v>
      </c>
      <c r="E30" s="84"/>
      <c r="F30" s="75">
        <f>ROUND(F23-F24,2)</f>
        <v>0</v>
      </c>
      <c r="G30" s="68"/>
      <c r="H30" s="72"/>
      <c r="I30" s="12"/>
      <c r="J30" s="123"/>
      <c r="K30" s="129"/>
      <c r="L30" s="130"/>
      <c r="M30" s="137" t="s">
        <v>537</v>
      </c>
      <c r="N30" s="135">
        <f>IF(Salary_Per="H",RED_SAL_NOT_LOCKED*HOURS_OF_REGULAR_PAY,ROUND((RED_SAL_NOT_LOCKED/PAYPERIOD_HOURS),5)*HOURS_OF_REGULAR_PAY)</f>
        <v>0</v>
      </c>
      <c r="O30" s="124"/>
      <c r="P30" s="125"/>
      <c r="Q30" s="124"/>
      <c r="R30" s="124" t="s">
        <v>303</v>
      </c>
      <c r="S30" s="124" t="s">
        <v>310</v>
      </c>
      <c r="T30" s="127"/>
      <c r="U30" s="143" t="s">
        <v>305</v>
      </c>
      <c r="V30" s="155">
        <v>0</v>
      </c>
      <c r="W30" s="123"/>
      <c r="X30" s="130"/>
      <c r="Z30" s="9">
        <v>30</v>
      </c>
      <c r="AA30" s="114">
        <v>317</v>
      </c>
      <c r="AB30" s="119">
        <v>0.105</v>
      </c>
      <c r="AC30" s="8" t="s">
        <v>198</v>
      </c>
      <c r="AD30" s="8" t="s">
        <v>4</v>
      </c>
      <c r="AJ30" s="121" t="s">
        <v>12</v>
      </c>
      <c r="AK30" s="121" t="s">
        <v>13</v>
      </c>
      <c r="AL30" s="121" t="s">
        <v>14</v>
      </c>
      <c r="AO30" s="107"/>
      <c r="AP30" s="107"/>
      <c r="AQ30" s="107"/>
      <c r="AR30" s="108"/>
      <c r="AS30" s="108"/>
    </row>
    <row r="31" spans="1:45" ht="17.25" thickBot="1" thickTop="1">
      <c r="A31" s="168" t="s">
        <v>280</v>
      </c>
      <c r="B31" s="56">
        <f>Org_Hr_Rate</f>
        <v>22.72727</v>
      </c>
      <c r="C31" s="76"/>
      <c r="D31" s="68"/>
      <c r="E31" s="68"/>
      <c r="F31" s="77"/>
      <c r="G31" s="78"/>
      <c r="H31" s="72"/>
      <c r="I31" s="12"/>
      <c r="J31" s="123"/>
      <c r="K31" s="124"/>
      <c r="L31" s="130"/>
      <c r="M31" s="137" t="s">
        <v>538</v>
      </c>
      <c r="N31" s="135">
        <f>IF(REG_PAY_SUBJ_RETIREMENT&gt;EXCLUSION,EXCLUSION,REG_PAY_SUBJ_RETIREMENT)</f>
        <v>0</v>
      </c>
      <c r="O31" s="124"/>
      <c r="P31" s="125"/>
      <c r="Q31" s="124"/>
      <c r="R31" s="124" t="s">
        <v>312</v>
      </c>
      <c r="S31" s="124" t="s">
        <v>156</v>
      </c>
      <c r="T31" s="126"/>
      <c r="U31" s="143" t="s">
        <v>306</v>
      </c>
      <c r="V31" s="155">
        <v>0</v>
      </c>
      <c r="W31" s="123"/>
      <c r="X31" s="130"/>
      <c r="Z31" s="188">
        <v>31</v>
      </c>
      <c r="AA31" s="115">
        <v>238</v>
      </c>
      <c r="AB31" s="119">
        <v>0.08</v>
      </c>
      <c r="AC31" s="57" t="s">
        <v>198</v>
      </c>
      <c r="AJ31" s="197">
        <v>0</v>
      </c>
      <c r="AK31" s="198">
        <v>0.011</v>
      </c>
      <c r="AL31" s="192">
        <v>0</v>
      </c>
      <c r="AO31" s="109"/>
      <c r="AP31" s="110"/>
      <c r="AQ31" s="111"/>
      <c r="AR31" s="108"/>
      <c r="AS31" s="108"/>
    </row>
    <row r="32" spans="1:45" ht="17.25" thickBot="1" thickTop="1">
      <c r="A32" s="168" t="s">
        <v>274</v>
      </c>
      <c r="B32" s="49">
        <f>IF(ROUND(Full_Net-(SUM(C30:F30)),2)&lt;0,0,ROUND(Full_Net-(SUM(C30:F30)),2))</f>
        <v>0</v>
      </c>
      <c r="C32" s="79" t="s">
        <v>275</v>
      </c>
      <c r="D32" s="80">
        <f>Withhold_Factor</f>
        <v>0.6375</v>
      </c>
      <c r="E32" s="80"/>
      <c r="F32" s="81" t="s">
        <v>276</v>
      </c>
      <c r="G32" s="82">
        <f>ROUND(Supple_Gross_Net/Divided_By,2)</f>
        <v>0</v>
      </c>
      <c r="H32" s="83"/>
      <c r="I32" s="12"/>
      <c r="J32" s="123"/>
      <c r="K32" s="124"/>
      <c r="L32" s="130"/>
      <c r="M32" s="137" t="s">
        <v>539</v>
      </c>
      <c r="N32" s="135">
        <f>IF(REG_PAY_SUBJ_RETIREMENT&gt;EXCLUSION,(REG_PAY_SUBJ_RETIREMENT-EXCLUSION)*EPMC_P,0)</f>
        <v>0</v>
      </c>
      <c r="O32" s="124"/>
      <c r="P32" s="125"/>
      <c r="Q32" s="124"/>
      <c r="R32" s="124" t="s">
        <v>313</v>
      </c>
      <c r="S32" s="124" t="s">
        <v>156</v>
      </c>
      <c r="T32" s="126"/>
      <c r="U32" s="143" t="s">
        <v>320</v>
      </c>
      <c r="V32" s="155">
        <v>0</v>
      </c>
      <c r="W32" s="123"/>
      <c r="X32" s="130"/>
      <c r="Z32" s="188">
        <v>32</v>
      </c>
      <c r="AA32" s="115">
        <v>238</v>
      </c>
      <c r="AB32" s="119">
        <v>0.08</v>
      </c>
      <c r="AC32" s="57" t="s">
        <v>150</v>
      </c>
      <c r="AJ32" s="197">
        <v>17088</v>
      </c>
      <c r="AK32" s="198">
        <v>0.022</v>
      </c>
      <c r="AL32" s="192">
        <v>187.97</v>
      </c>
      <c r="AO32" s="109"/>
      <c r="AP32" s="110"/>
      <c r="AQ32" s="111"/>
      <c r="AR32" s="108"/>
      <c r="AS32" s="108"/>
    </row>
    <row r="33" spans="1:45" ht="17.25" thickBot="1" thickTop="1">
      <c r="A33" s="169" t="s">
        <v>281</v>
      </c>
      <c r="B33" s="84">
        <f>S9</f>
        <v>0</v>
      </c>
      <c r="C33" s="85"/>
      <c r="D33" s="68"/>
      <c r="E33" s="69"/>
      <c r="F33" s="86"/>
      <c r="G33" s="87"/>
      <c r="H33" s="72"/>
      <c r="I33" s="12"/>
      <c r="J33" s="123"/>
      <c r="K33" s="124"/>
      <c r="L33" s="130"/>
      <c r="M33" s="138" t="s">
        <v>543</v>
      </c>
      <c r="N33" s="139">
        <f>EXCLUSION-REG_PAY_EXCLUSION</f>
        <v>513</v>
      </c>
      <c r="O33" s="124"/>
      <c r="P33" s="125"/>
      <c r="Q33" s="124"/>
      <c r="R33" s="124" t="s">
        <v>314</v>
      </c>
      <c r="S33" s="124" t="s">
        <v>156</v>
      </c>
      <c r="T33" s="126"/>
      <c r="U33" s="143" t="s">
        <v>309</v>
      </c>
      <c r="V33" s="155">
        <v>0</v>
      </c>
      <c r="W33" s="123"/>
      <c r="X33" s="130"/>
      <c r="Z33" s="188">
        <v>33</v>
      </c>
      <c r="AA33" s="115">
        <v>317</v>
      </c>
      <c r="AB33" s="119">
        <v>0.01</v>
      </c>
      <c r="AC33" s="57" t="s">
        <v>150</v>
      </c>
      <c r="AJ33" s="197">
        <v>40510</v>
      </c>
      <c r="AK33" s="198">
        <v>0.044</v>
      </c>
      <c r="AL33" s="192">
        <v>703.25</v>
      </c>
      <c r="AO33" s="109"/>
      <c r="AP33" s="110"/>
      <c r="AQ33" s="111"/>
      <c r="AR33" s="108"/>
      <c r="AS33" s="108"/>
    </row>
    <row r="34" spans="1:45" ht="17.25" thickBot="1" thickTop="1">
      <c r="A34" s="170" t="s">
        <v>277</v>
      </c>
      <c r="B34" s="88"/>
      <c r="C34" s="180"/>
      <c r="D34" s="181">
        <f>S10</f>
        <v>0</v>
      </c>
      <c r="E34" s="182"/>
      <c r="F34" s="68"/>
      <c r="G34" s="68"/>
      <c r="H34" s="72"/>
      <c r="I34" s="12"/>
      <c r="J34" s="124"/>
      <c r="K34" s="130"/>
      <c r="L34" s="130"/>
      <c r="M34" s="140"/>
      <c r="N34" s="134"/>
      <c r="O34" s="124"/>
      <c r="P34" s="125"/>
      <c r="Q34" s="124"/>
      <c r="R34" s="124" t="s">
        <v>315</v>
      </c>
      <c r="S34" s="124" t="s">
        <v>156</v>
      </c>
      <c r="T34" s="126"/>
      <c r="U34" s="143" t="s">
        <v>321</v>
      </c>
      <c r="V34" s="155">
        <v>0</v>
      </c>
      <c r="W34" s="123"/>
      <c r="X34" s="130"/>
      <c r="Z34" s="188">
        <v>34</v>
      </c>
      <c r="AA34" s="115">
        <v>238</v>
      </c>
      <c r="AB34" s="119">
        <v>0.06</v>
      </c>
      <c r="AC34" s="57" t="s">
        <v>198</v>
      </c>
      <c r="AJ34" s="197">
        <v>63938</v>
      </c>
      <c r="AK34" s="198">
        <v>0.066</v>
      </c>
      <c r="AL34" s="192">
        <v>1734.08</v>
      </c>
      <c r="AO34" s="109"/>
      <c r="AP34" s="110"/>
      <c r="AQ34" s="111"/>
      <c r="AR34" s="108"/>
      <c r="AS34" s="108"/>
    </row>
    <row r="35" spans="1:45" ht="17.25" thickBot="1" thickTop="1">
      <c r="A35" s="171" t="s">
        <v>278</v>
      </c>
      <c r="B35" s="89">
        <f>S11</f>
        <v>0</v>
      </c>
      <c r="C35" s="183" t="s">
        <v>279</v>
      </c>
      <c r="D35" s="90">
        <f>S12</f>
        <v>0</v>
      </c>
      <c r="E35" s="90"/>
      <c r="F35" s="91"/>
      <c r="G35" s="92"/>
      <c r="H35" s="93"/>
      <c r="I35" s="12"/>
      <c r="K35" s="140"/>
      <c r="L35" s="130"/>
      <c r="M35" s="141" t="s">
        <v>174</v>
      </c>
      <c r="N35" s="135">
        <f>IF(Salary_Per="H",RETIREMENT_SALARY_RATE*HOURS_IDL_FULL,RETIREMENT_SALARY_RATE/PAYPERIOD_HOURS*HOURS_IDL_FULL)</f>
        <v>0</v>
      </c>
      <c r="O35" s="124"/>
      <c r="P35" s="125"/>
      <c r="Q35" s="124"/>
      <c r="R35" s="124" t="s">
        <v>316</v>
      </c>
      <c r="S35" s="124" t="s">
        <v>156</v>
      </c>
      <c r="T35" s="126"/>
      <c r="U35" s="143" t="s">
        <v>322</v>
      </c>
      <c r="V35" s="155">
        <v>0</v>
      </c>
      <c r="W35" s="123"/>
      <c r="X35" s="130"/>
      <c r="Z35" s="9">
        <v>36</v>
      </c>
      <c r="AA35" s="114">
        <v>513</v>
      </c>
      <c r="AB35" s="119">
        <v>0.115</v>
      </c>
      <c r="AC35" s="8" t="s">
        <v>150</v>
      </c>
      <c r="AJ35" s="197">
        <v>88754</v>
      </c>
      <c r="AK35" s="198">
        <v>0.088</v>
      </c>
      <c r="AL35" s="192">
        <v>3371.94</v>
      </c>
      <c r="AO35" s="109"/>
      <c r="AP35" s="110"/>
      <c r="AQ35" s="111"/>
      <c r="AR35" s="108"/>
      <c r="AS35" s="108"/>
    </row>
    <row r="36" spans="1:45" ht="16.5" thickTop="1">
      <c r="A36" s="94"/>
      <c r="H36" s="175" t="s">
        <v>591</v>
      </c>
      <c r="I36" s="12"/>
      <c r="J36" s="141"/>
      <c r="K36" s="129"/>
      <c r="L36" s="130"/>
      <c r="M36" s="141" t="s">
        <v>541</v>
      </c>
      <c r="N36" s="135">
        <f>IF(IDL_FULL_PAY&gt;N33,N33,IDL_FULL_PAY)</f>
        <v>0</v>
      </c>
      <c r="O36" s="124"/>
      <c r="P36" s="125"/>
      <c r="Q36" s="124"/>
      <c r="R36" s="124" t="s">
        <v>317</v>
      </c>
      <c r="S36" s="124" t="s">
        <v>156</v>
      </c>
      <c r="T36" s="126"/>
      <c r="U36" s="143" t="s">
        <v>307</v>
      </c>
      <c r="V36" s="155">
        <v>0</v>
      </c>
      <c r="W36" s="123"/>
      <c r="X36" s="130"/>
      <c r="Z36" s="188">
        <v>37</v>
      </c>
      <c r="AA36" s="115">
        <v>863</v>
      </c>
      <c r="AB36" s="119">
        <v>0.08</v>
      </c>
      <c r="AC36" s="57" t="s">
        <v>198</v>
      </c>
      <c r="AJ36" s="197">
        <v>112170</v>
      </c>
      <c r="AK36" s="198">
        <v>0.1023</v>
      </c>
      <c r="AL36" s="192">
        <v>5432.55</v>
      </c>
      <c r="AO36" s="109"/>
      <c r="AP36" s="110"/>
      <c r="AQ36" s="111"/>
      <c r="AR36" s="108"/>
      <c r="AS36" s="108"/>
    </row>
    <row r="37" spans="1:45" ht="15.75">
      <c r="A37" s="94"/>
      <c r="I37" s="12"/>
      <c r="J37" s="123"/>
      <c r="K37" s="124"/>
      <c r="L37" s="130"/>
      <c r="M37" s="141" t="s">
        <v>542</v>
      </c>
      <c r="N37" s="135">
        <f>IF(IDL_FULL_PAY&gt;IDL_FULL_PAY_EXCLUSION,(IDL_FULL_PAY-IDL_FULL_PAY_EXCLUSION)*EPMC_P,0)</f>
        <v>0</v>
      </c>
      <c r="O37" s="124"/>
      <c r="P37" s="125"/>
      <c r="Q37" s="124"/>
      <c r="R37" s="124" t="s">
        <v>304</v>
      </c>
      <c r="S37" s="124" t="s">
        <v>310</v>
      </c>
      <c r="T37" s="126"/>
      <c r="U37" s="143" t="s">
        <v>308</v>
      </c>
      <c r="V37" s="155">
        <v>0</v>
      </c>
      <c r="W37" s="123"/>
      <c r="X37" s="130"/>
      <c r="Z37" s="188">
        <v>39</v>
      </c>
      <c r="AA37" s="115">
        <v>238</v>
      </c>
      <c r="AB37" s="119">
        <v>0.08</v>
      </c>
      <c r="AC37" s="57" t="s">
        <v>198</v>
      </c>
      <c r="AJ37" s="197">
        <v>572984</v>
      </c>
      <c r="AK37" s="198">
        <v>0.1133</v>
      </c>
      <c r="AL37" s="192">
        <v>52573.82</v>
      </c>
      <c r="AO37" s="109"/>
      <c r="AP37" s="110"/>
      <c r="AQ37" s="111"/>
      <c r="AR37" s="108"/>
      <c r="AS37" s="108"/>
    </row>
    <row r="38" spans="1:45" ht="15.75">
      <c r="A38" s="94"/>
      <c r="I38" s="12"/>
      <c r="J38" s="123"/>
      <c r="K38" s="124"/>
      <c r="L38" s="130"/>
      <c r="M38" s="138" t="s">
        <v>544</v>
      </c>
      <c r="N38" s="139">
        <f>N33-IDL_FULL_PAY_EXCLUSION</f>
        <v>513</v>
      </c>
      <c r="O38" s="124"/>
      <c r="P38" s="125"/>
      <c r="Q38" s="124"/>
      <c r="R38" s="124" t="s">
        <v>318</v>
      </c>
      <c r="S38" s="124" t="s">
        <v>156</v>
      </c>
      <c r="T38" s="126"/>
      <c r="U38" s="143" t="s">
        <v>148</v>
      </c>
      <c r="V38" s="155">
        <v>0</v>
      </c>
      <c r="W38" s="123"/>
      <c r="X38" s="130"/>
      <c r="Z38" s="9">
        <v>40</v>
      </c>
      <c r="AA38" s="114">
        <v>317</v>
      </c>
      <c r="AB38" s="119">
        <v>0.105</v>
      </c>
      <c r="AC38" s="8" t="s">
        <v>198</v>
      </c>
      <c r="AJ38" s="197">
        <v>687576</v>
      </c>
      <c r="AK38" s="198">
        <v>0.1243</v>
      </c>
      <c r="AL38" s="192">
        <v>65557.09</v>
      </c>
      <c r="AO38" s="109"/>
      <c r="AP38" s="110"/>
      <c r="AQ38" s="111"/>
      <c r="AR38" s="108"/>
      <c r="AS38" s="108"/>
    </row>
    <row r="39" spans="3:45" ht="15.75">
      <c r="C39" s="7" t="s">
        <v>561</v>
      </c>
      <c r="I39" s="12"/>
      <c r="J39" s="123"/>
      <c r="K39" s="124"/>
      <c r="L39" s="130"/>
      <c r="M39" s="124"/>
      <c r="N39" s="124"/>
      <c r="O39" s="124"/>
      <c r="P39" s="125"/>
      <c r="Q39" s="124"/>
      <c r="R39" s="124" t="s">
        <v>319</v>
      </c>
      <c r="S39" s="124" t="s">
        <v>156</v>
      </c>
      <c r="T39" s="126"/>
      <c r="U39" s="143" t="s">
        <v>149</v>
      </c>
      <c r="V39" s="155">
        <v>0</v>
      </c>
      <c r="W39" s="123"/>
      <c r="X39" s="130"/>
      <c r="Z39" s="9">
        <v>41</v>
      </c>
      <c r="AA39" s="114">
        <v>0</v>
      </c>
      <c r="AB39" s="119">
        <v>0.0375</v>
      </c>
      <c r="AC39" s="8" t="s">
        <v>199</v>
      </c>
      <c r="AJ39" s="197">
        <v>1000000</v>
      </c>
      <c r="AK39" s="198">
        <v>0.1353</v>
      </c>
      <c r="AL39" s="192">
        <v>104391.39</v>
      </c>
      <c r="AO39" s="109"/>
      <c r="AP39" s="110"/>
      <c r="AQ39" s="111"/>
      <c r="AR39" s="108"/>
      <c r="AS39" s="108"/>
    </row>
    <row r="40" spans="9:45" ht="15.75">
      <c r="I40" s="12"/>
      <c r="J40" s="141"/>
      <c r="K40" s="135"/>
      <c r="L40" s="130"/>
      <c r="M40" s="141" t="s">
        <v>175</v>
      </c>
      <c r="N40" s="135">
        <f>IF(Salary_Per="H",RETIREMENT_SALARY_RATE*HOURS_IDL_23,RETIREMENT_SALARY_RATE/PAYPERIOD_HOURS*HOURS_IDL_23)</f>
        <v>0</v>
      </c>
      <c r="O40" s="124"/>
      <c r="P40" s="125"/>
      <c r="Q40" s="124"/>
      <c r="R40" s="124" t="s">
        <v>305</v>
      </c>
      <c r="S40" s="124" t="s">
        <v>310</v>
      </c>
      <c r="T40" s="126"/>
      <c r="U40" s="123" t="s">
        <v>147</v>
      </c>
      <c r="V40" s="155">
        <v>0</v>
      </c>
      <c r="W40" s="123"/>
      <c r="X40" s="130"/>
      <c r="Z40" s="9">
        <v>42</v>
      </c>
      <c r="AA40" s="114">
        <v>317</v>
      </c>
      <c r="AB40" s="119">
        <v>0.06</v>
      </c>
      <c r="AC40" s="8" t="s">
        <v>150</v>
      </c>
      <c r="AJ40" s="197">
        <v>1145961</v>
      </c>
      <c r="AK40" s="198">
        <v>0.1463</v>
      </c>
      <c r="AL40" s="192">
        <v>124139.9</v>
      </c>
      <c r="AO40" s="109"/>
      <c r="AP40" s="110"/>
      <c r="AQ40" s="111"/>
      <c r="AR40" s="108"/>
      <c r="AS40" s="108"/>
    </row>
    <row r="41" spans="1:45" ht="15.75">
      <c r="A41" s="1" t="s">
        <v>364</v>
      </c>
      <c r="J41" s="141"/>
      <c r="K41" s="135"/>
      <c r="L41" s="130"/>
      <c r="M41" s="141" t="s">
        <v>546</v>
      </c>
      <c r="N41" s="135">
        <f>IF(IDL_23_PAY&gt;N38,N38,IDL_23_PAY)</f>
        <v>0</v>
      </c>
      <c r="O41" s="124"/>
      <c r="P41" s="125"/>
      <c r="Q41" s="124"/>
      <c r="R41" s="124" t="s">
        <v>306</v>
      </c>
      <c r="S41" s="124" t="s">
        <v>310</v>
      </c>
      <c r="T41" s="126"/>
      <c r="U41" s="123"/>
      <c r="V41" s="158"/>
      <c r="W41" s="123"/>
      <c r="X41" s="130"/>
      <c r="Z41" s="9">
        <v>43</v>
      </c>
      <c r="AA41" s="114">
        <v>513</v>
      </c>
      <c r="AB41" s="119">
        <v>0.05</v>
      </c>
      <c r="AC41" s="8" t="s">
        <v>199</v>
      </c>
      <c r="AJ41" s="197">
        <v>9999999</v>
      </c>
      <c r="AK41" s="198">
        <v>0.1463</v>
      </c>
      <c r="AL41" s="192">
        <v>124139.9</v>
      </c>
      <c r="AO41" s="109"/>
      <c r="AP41" s="110"/>
      <c r="AQ41" s="111"/>
      <c r="AR41" s="108"/>
      <c r="AS41" s="108"/>
    </row>
    <row r="42" spans="1:45" ht="15.75">
      <c r="A42" s="1" t="s">
        <v>378</v>
      </c>
      <c r="J42" s="141"/>
      <c r="K42" s="129"/>
      <c r="L42" s="130"/>
      <c r="M42" s="141" t="s">
        <v>547</v>
      </c>
      <c r="N42" s="135">
        <f>IF(IDL_23_PAY&gt;IDL_23_PAY_EXCLUSION,(IDL_23_PAY-IDL_23_PAY_EXCLUSION)*EPMC_P,0)</f>
        <v>0</v>
      </c>
      <c r="O42" s="124"/>
      <c r="P42" s="125"/>
      <c r="Q42" s="124"/>
      <c r="R42" s="124" t="s">
        <v>320</v>
      </c>
      <c r="S42" s="124" t="s">
        <v>156</v>
      </c>
      <c r="T42" s="123"/>
      <c r="U42" s="123"/>
      <c r="V42" s="158"/>
      <c r="W42" s="123"/>
      <c r="X42" s="130"/>
      <c r="Z42" s="9">
        <v>44</v>
      </c>
      <c r="AA42" s="114">
        <v>0</v>
      </c>
      <c r="AB42" s="119">
        <v>0.0375</v>
      </c>
      <c r="AC42" s="8" t="s">
        <v>199</v>
      </c>
      <c r="AJ42" s="122"/>
      <c r="AK42" s="122"/>
      <c r="AL42" s="122"/>
      <c r="AO42" s="108"/>
      <c r="AP42" s="108"/>
      <c r="AQ42" s="108"/>
      <c r="AR42" s="108"/>
      <c r="AS42" s="108"/>
    </row>
    <row r="43" spans="1:45" ht="15.75">
      <c r="A43" s="1" t="s">
        <v>348</v>
      </c>
      <c r="C43" s="8"/>
      <c r="J43" s="141"/>
      <c r="K43" s="129"/>
      <c r="L43" s="130"/>
      <c r="M43" s="138" t="s">
        <v>548</v>
      </c>
      <c r="N43" s="139">
        <f>N38-IDL_23_PAY_EXCLUSION</f>
        <v>513</v>
      </c>
      <c r="O43" s="124"/>
      <c r="P43" s="125"/>
      <c r="Q43" s="124"/>
      <c r="R43" s="124" t="s">
        <v>309</v>
      </c>
      <c r="S43" s="124" t="s">
        <v>310</v>
      </c>
      <c r="T43" s="123"/>
      <c r="U43" s="123"/>
      <c r="V43" s="158"/>
      <c r="W43" s="123"/>
      <c r="X43" s="130"/>
      <c r="Z43" s="9">
        <v>45</v>
      </c>
      <c r="AA43" s="114">
        <v>513</v>
      </c>
      <c r="AB43" s="119">
        <v>0.08</v>
      </c>
      <c r="AC43" s="8" t="s">
        <v>199</v>
      </c>
      <c r="AJ43" s="121" t="s">
        <v>57</v>
      </c>
      <c r="AK43" s="122"/>
      <c r="AL43" s="122"/>
      <c r="AO43" s="107"/>
      <c r="AP43" s="108"/>
      <c r="AQ43" s="108"/>
      <c r="AR43" s="108"/>
      <c r="AS43" s="108"/>
    </row>
    <row r="44" spans="1:45" ht="15.75">
      <c r="A44" s="1" t="s">
        <v>349</v>
      </c>
      <c r="C44" s="8"/>
      <c r="J44" s="57"/>
      <c r="K44" s="58"/>
      <c r="L44" s="59"/>
      <c r="O44" s="58"/>
      <c r="P44" s="104"/>
      <c r="Q44" s="104"/>
      <c r="R44" s="13" t="s">
        <v>321</v>
      </c>
      <c r="S44" s="13" t="s">
        <v>156</v>
      </c>
      <c r="V44" s="95"/>
      <c r="Z44" s="9">
        <v>46</v>
      </c>
      <c r="AA44" s="114">
        <v>317</v>
      </c>
      <c r="AB44" s="119">
        <v>0.06</v>
      </c>
      <c r="AC44" s="8" t="s">
        <v>198</v>
      </c>
      <c r="AJ44" s="121" t="s">
        <v>12</v>
      </c>
      <c r="AK44" s="121" t="s">
        <v>13</v>
      </c>
      <c r="AL44" s="121" t="s">
        <v>14</v>
      </c>
      <c r="AO44" s="107"/>
      <c r="AP44" s="107"/>
      <c r="AQ44" s="107"/>
      <c r="AR44" s="108"/>
      <c r="AS44" s="108"/>
    </row>
    <row r="45" spans="1:45" ht="15.75">
      <c r="A45" s="1"/>
      <c r="J45" s="57"/>
      <c r="K45" s="58"/>
      <c r="L45" s="59"/>
      <c r="O45" s="58"/>
      <c r="P45" s="104"/>
      <c r="Q45" s="104"/>
      <c r="R45" s="13" t="s">
        <v>322</v>
      </c>
      <c r="S45" s="13" t="s">
        <v>156</v>
      </c>
      <c r="V45" s="95"/>
      <c r="Z45" s="9">
        <v>47</v>
      </c>
      <c r="AA45" s="114">
        <v>0</v>
      </c>
      <c r="AB45" s="119">
        <v>0.0375</v>
      </c>
      <c r="AC45" s="8" t="s">
        <v>199</v>
      </c>
      <c r="AJ45" s="197">
        <v>0</v>
      </c>
      <c r="AK45" s="198">
        <v>0.011</v>
      </c>
      <c r="AL45" s="192">
        <v>0</v>
      </c>
      <c r="AO45" s="109"/>
      <c r="AP45" s="110"/>
      <c r="AQ45" s="111"/>
      <c r="AR45" s="108"/>
      <c r="AS45" s="108"/>
    </row>
    <row r="46" spans="1:45" ht="15.75">
      <c r="A46" s="5" t="s">
        <v>53</v>
      </c>
      <c r="J46" s="57"/>
      <c r="K46" s="58"/>
      <c r="L46" s="59"/>
      <c r="M46" s="105"/>
      <c r="N46" s="105"/>
      <c r="O46" s="58"/>
      <c r="P46" s="104"/>
      <c r="Q46" s="104"/>
      <c r="R46" s="13" t="s">
        <v>307</v>
      </c>
      <c r="S46" s="13" t="s">
        <v>310</v>
      </c>
      <c r="V46" s="95"/>
      <c r="Z46" s="9">
        <v>48</v>
      </c>
      <c r="AA46" s="114">
        <v>317</v>
      </c>
      <c r="AB46" s="119">
        <v>0.06</v>
      </c>
      <c r="AC46" s="8" t="s">
        <v>150</v>
      </c>
      <c r="AJ46" s="197">
        <v>17099</v>
      </c>
      <c r="AK46" s="198">
        <v>0.022</v>
      </c>
      <c r="AL46" s="192">
        <v>188.09</v>
      </c>
      <c r="AO46" s="109"/>
      <c r="AP46" s="110"/>
      <c r="AQ46" s="111"/>
      <c r="AR46" s="108"/>
      <c r="AS46" s="108"/>
    </row>
    <row r="47" spans="1:45" ht="15.75">
      <c r="A47" s="1"/>
      <c r="J47" s="200" t="s">
        <v>564</v>
      </c>
      <c r="K47" s="200"/>
      <c r="L47" s="59"/>
      <c r="M47" s="200"/>
      <c r="N47" s="200"/>
      <c r="O47" s="58"/>
      <c r="R47" s="13" t="s">
        <v>308</v>
      </c>
      <c r="S47" s="13" t="s">
        <v>310</v>
      </c>
      <c r="V47" s="95"/>
      <c r="Z47" s="9">
        <v>49</v>
      </c>
      <c r="AA47" s="114">
        <v>513</v>
      </c>
      <c r="AB47" s="119">
        <v>0.09</v>
      </c>
      <c r="AC47" s="8" t="s">
        <v>199</v>
      </c>
      <c r="AJ47" s="197">
        <v>40512</v>
      </c>
      <c r="AK47" s="198">
        <v>0.044</v>
      </c>
      <c r="AL47" s="192">
        <v>703.18</v>
      </c>
      <c r="AO47" s="109"/>
      <c r="AP47" s="110"/>
      <c r="AQ47" s="111"/>
      <c r="AR47" s="108"/>
      <c r="AS47" s="108"/>
    </row>
    <row r="48" spans="1:45" ht="15.75">
      <c r="A48" s="100" t="s">
        <v>368</v>
      </c>
      <c r="J48" s="60" t="s">
        <v>26</v>
      </c>
      <c r="K48" s="50">
        <f>ROUND(Gross_Net-EPMC,2)</f>
        <v>0</v>
      </c>
      <c r="L48" s="50" t="s">
        <v>294</v>
      </c>
      <c r="N48" s="50"/>
      <c r="O48" s="50"/>
      <c r="V48" s="95"/>
      <c r="W48" s="16"/>
      <c r="Z48" s="9">
        <v>50</v>
      </c>
      <c r="AA48" s="114">
        <v>238</v>
      </c>
      <c r="AB48" s="119">
        <v>0.08</v>
      </c>
      <c r="AC48" s="8" t="s">
        <v>150</v>
      </c>
      <c r="AJ48" s="197">
        <v>52224</v>
      </c>
      <c r="AK48" s="198">
        <v>0.066</v>
      </c>
      <c r="AL48" s="192">
        <v>1218.51</v>
      </c>
      <c r="AO48" s="109"/>
      <c r="AP48" s="110"/>
      <c r="AQ48" s="111"/>
      <c r="AR48" s="108"/>
      <c r="AS48" s="108"/>
    </row>
    <row r="49" spans="1:45" ht="15.75">
      <c r="A49" s="2" t="s">
        <v>369</v>
      </c>
      <c r="J49" s="60" t="s">
        <v>27</v>
      </c>
      <c r="K49" s="50">
        <f>(Reg_Net_Grs-REG_RETIREMENT_WH)</f>
        <v>0</v>
      </c>
      <c r="L49" s="50" t="s">
        <v>295</v>
      </c>
      <c r="N49" s="50"/>
      <c r="O49" s="50"/>
      <c r="S49" s="13" t="s">
        <v>282</v>
      </c>
      <c r="U49" s="35"/>
      <c r="V49" s="95"/>
      <c r="W49" s="16"/>
      <c r="Z49" s="9">
        <v>51</v>
      </c>
      <c r="AA49" s="114">
        <v>238</v>
      </c>
      <c r="AB49" s="119">
        <v>0.08</v>
      </c>
      <c r="AC49" s="8" t="s">
        <v>198</v>
      </c>
      <c r="AJ49" s="197">
        <v>64632</v>
      </c>
      <c r="AK49" s="198">
        <v>0.088</v>
      </c>
      <c r="AL49" s="192">
        <v>2037.44</v>
      </c>
      <c r="AO49" s="109"/>
      <c r="AP49" s="110"/>
      <c r="AQ49" s="111"/>
      <c r="AR49" s="108"/>
      <c r="AS49" s="108"/>
    </row>
    <row r="50" spans="1:45" ht="15.75">
      <c r="A50" s="2"/>
      <c r="J50" s="60" t="s">
        <v>28</v>
      </c>
      <c r="K50" s="13">
        <f>(Reg_Net_Grs+IDL_Full)-M20</f>
        <v>0</v>
      </c>
      <c r="L50" s="13" t="s">
        <v>296</v>
      </c>
      <c r="R50" s="96" t="s">
        <v>288</v>
      </c>
      <c r="S50" s="13">
        <f>IF(AND(FEDE&lt;99,STE&lt;99,S2="S"),1,IF(AND(FEDE&lt;99,STE&lt;99,S2="M"),2,IF(AND(FEDE&lt;99,STE&lt;99,S2="N"),3,IF(AND(FEDE=99,STE=99,S2="S"),4,IF(AND(FEDE=99,STE=99,S2="M"),5,IF(AND(FEDE=99,STE=99,S2="N"),6,0))))))</f>
        <v>1</v>
      </c>
      <c r="T50" s="53">
        <f>IF(S50&gt;0,VLOOKUP(S50,Mand_Hold_Factor,2),VLOOKUP(S51,Mand_Hold_Factor,2))</f>
        <v>0.6375</v>
      </c>
      <c r="V50" s="95"/>
      <c r="W50" s="16"/>
      <c r="Z50" s="9">
        <v>52</v>
      </c>
      <c r="AA50" s="114">
        <v>238</v>
      </c>
      <c r="AB50" s="119">
        <v>0.08</v>
      </c>
      <c r="AC50" s="8" t="s">
        <v>150</v>
      </c>
      <c r="AJ50" s="197">
        <v>76343</v>
      </c>
      <c r="AK50" s="198">
        <v>0.1023</v>
      </c>
      <c r="AL50" s="192">
        <v>3068.01</v>
      </c>
      <c r="AO50" s="109"/>
      <c r="AP50" s="110"/>
      <c r="AQ50" s="111"/>
      <c r="AR50" s="108"/>
      <c r="AS50" s="108"/>
    </row>
    <row r="51" spans="1:45" ht="15.75">
      <c r="A51" s="2" t="s">
        <v>325</v>
      </c>
      <c r="J51" s="60" t="s">
        <v>29</v>
      </c>
      <c r="K51" s="13">
        <f>Salary_Rate</f>
        <v>4000</v>
      </c>
      <c r="L51" s="13" t="s">
        <v>297</v>
      </c>
      <c r="R51" s="96" t="s">
        <v>289</v>
      </c>
      <c r="S51" s="13">
        <f>IF(AND(FEDE&lt;99,STE=99,S2="S"),7,IF(AND(FEDE&lt;99,STE=99,S2="M"),8,IF(AND(FEDE&lt;99,STE=99,S2="N"),9,IF(AND(FEDE=99,STE&lt;99,S2="S"),10,IF(AND(FEDE=99,STE&lt;99,S2="M"),11,IF(AND(FEDE=99,STE&lt;99,S2="N"),12,0))))))</f>
        <v>0</v>
      </c>
      <c r="V51" s="95"/>
      <c r="Z51" s="9">
        <v>53</v>
      </c>
      <c r="AA51" s="114">
        <v>238</v>
      </c>
      <c r="AB51" s="119">
        <v>0.08</v>
      </c>
      <c r="AC51" s="8" t="s">
        <v>198</v>
      </c>
      <c r="AJ51" s="197">
        <v>389627</v>
      </c>
      <c r="AK51" s="198">
        <v>0.1133</v>
      </c>
      <c r="AL51" s="192">
        <v>35116.96</v>
      </c>
      <c r="AO51" s="109"/>
      <c r="AP51" s="110"/>
      <c r="AQ51" s="111"/>
      <c r="AR51" s="108"/>
      <c r="AS51" s="108"/>
    </row>
    <row r="52" spans="1:45" ht="15.75">
      <c r="A52" s="2" t="s">
        <v>379</v>
      </c>
      <c r="J52" s="60" t="s">
        <v>30</v>
      </c>
      <c r="K52" s="13">
        <f>Salary_Rate</f>
        <v>4000</v>
      </c>
      <c r="L52" s="13" t="s">
        <v>297</v>
      </c>
      <c r="R52" s="13" t="s">
        <v>267</v>
      </c>
      <c r="S52" s="13">
        <v>1</v>
      </c>
      <c r="T52" s="16">
        <v>0.6375</v>
      </c>
      <c r="U52" s="6" t="s">
        <v>284</v>
      </c>
      <c r="V52" s="95"/>
      <c r="Z52" s="9">
        <v>54</v>
      </c>
      <c r="AA52" s="114">
        <v>238</v>
      </c>
      <c r="AB52" s="119">
        <v>0.08</v>
      </c>
      <c r="AC52" s="8" t="s">
        <v>150</v>
      </c>
      <c r="AJ52" s="197">
        <v>467553</v>
      </c>
      <c r="AK52" s="198">
        <v>0.1243</v>
      </c>
      <c r="AL52" s="192">
        <v>43945.98</v>
      </c>
      <c r="AO52" s="109"/>
      <c r="AP52" s="110"/>
      <c r="AQ52" s="111"/>
      <c r="AR52" s="108"/>
      <c r="AS52" s="108"/>
    </row>
    <row r="53" spans="1:45" ht="15.75">
      <c r="A53" s="2" t="s">
        <v>365</v>
      </c>
      <c r="J53" s="60" t="s">
        <v>33</v>
      </c>
      <c r="K53" s="13">
        <f>Salary_Rate</f>
        <v>4000</v>
      </c>
      <c r="L53" s="13" t="s">
        <v>297</v>
      </c>
      <c r="R53" s="13" t="s">
        <v>283</v>
      </c>
      <c r="S53" s="13">
        <v>2</v>
      </c>
      <c r="T53" s="16">
        <v>0.6995</v>
      </c>
      <c r="U53" s="6" t="s">
        <v>284</v>
      </c>
      <c r="V53" s="95"/>
      <c r="Z53" s="9">
        <v>55</v>
      </c>
      <c r="AA53" s="114">
        <v>863</v>
      </c>
      <c r="AB53" s="119">
        <v>0.13</v>
      </c>
      <c r="AC53" s="8" t="s">
        <v>198</v>
      </c>
      <c r="AJ53" s="197">
        <v>779253</v>
      </c>
      <c r="AK53" s="198">
        <v>0.1353</v>
      </c>
      <c r="AL53" s="192">
        <v>82690.29</v>
      </c>
      <c r="AO53" s="109"/>
      <c r="AP53" s="110"/>
      <c r="AQ53" s="111"/>
      <c r="AR53" s="108"/>
      <c r="AS53" s="108"/>
    </row>
    <row r="54" spans="1:45" ht="15.75">
      <c r="A54" s="2" t="s">
        <v>326</v>
      </c>
      <c r="J54" s="14"/>
      <c r="K54" s="50"/>
      <c r="R54" s="13" t="s">
        <v>353</v>
      </c>
      <c r="S54" s="13">
        <v>3</v>
      </c>
      <c r="T54" s="16">
        <v>0.714</v>
      </c>
      <c r="U54" s="6" t="s">
        <v>284</v>
      </c>
      <c r="V54" s="95"/>
      <c r="Z54" s="9">
        <v>56</v>
      </c>
      <c r="AA54" s="114">
        <v>863</v>
      </c>
      <c r="AB54" s="119">
        <v>0.08</v>
      </c>
      <c r="AC54" s="8" t="s">
        <v>150</v>
      </c>
      <c r="AJ54" s="197">
        <v>1000000</v>
      </c>
      <c r="AK54" s="198">
        <v>0.1463</v>
      </c>
      <c r="AL54" s="192">
        <v>112557.36</v>
      </c>
      <c r="AO54" s="109"/>
      <c r="AP54" s="110"/>
      <c r="AQ54" s="111"/>
      <c r="AR54" s="108"/>
      <c r="AS54" s="108"/>
    </row>
    <row r="55" spans="1:45" ht="15.75">
      <c r="A55" s="4"/>
      <c r="J55" s="65" t="s">
        <v>34</v>
      </c>
      <c r="M55" s="64"/>
      <c r="R55" s="13" t="s">
        <v>267</v>
      </c>
      <c r="S55" s="13">
        <v>4</v>
      </c>
      <c r="T55" s="16">
        <v>0.9235</v>
      </c>
      <c r="U55" s="6" t="s">
        <v>285</v>
      </c>
      <c r="Z55" s="9">
        <v>57</v>
      </c>
      <c r="AA55" s="114">
        <v>513</v>
      </c>
      <c r="AB55" s="119">
        <v>0.08</v>
      </c>
      <c r="AC55" s="8" t="s">
        <v>198</v>
      </c>
      <c r="AJ55" s="197">
        <v>9999999</v>
      </c>
      <c r="AK55" s="198">
        <v>0.1463</v>
      </c>
      <c r="AL55" s="192">
        <v>112557.36</v>
      </c>
      <c r="AO55" s="109"/>
      <c r="AP55" s="110"/>
      <c r="AQ55" s="111"/>
      <c r="AR55" s="108"/>
      <c r="AS55" s="108"/>
    </row>
    <row r="56" spans="1:45" ht="15.75">
      <c r="A56" s="101" t="s">
        <v>370</v>
      </c>
      <c r="J56" s="65" t="s">
        <v>35</v>
      </c>
      <c r="K56" s="13">
        <f>IF(PayFreq="M",12,IF(PayFreq="S",24,IF(PayFreq="B",26,0)))</f>
        <v>12</v>
      </c>
      <c r="L56" s="17"/>
      <c r="M56" s="64"/>
      <c r="R56" s="13" t="s">
        <v>283</v>
      </c>
      <c r="S56" s="13">
        <v>5</v>
      </c>
      <c r="T56" s="16">
        <v>0.9855</v>
      </c>
      <c r="U56" s="6" t="s">
        <v>285</v>
      </c>
      <c r="Z56" s="9">
        <v>58</v>
      </c>
      <c r="AA56" s="114">
        <v>513</v>
      </c>
      <c r="AB56" s="119">
        <v>0.08</v>
      </c>
      <c r="AC56" s="8" t="s">
        <v>150</v>
      </c>
      <c r="AO56" s="108"/>
      <c r="AP56" s="108"/>
      <c r="AQ56" s="108"/>
      <c r="AR56" s="108"/>
      <c r="AS56" s="108"/>
    </row>
    <row r="57" spans="1:45" ht="15.75">
      <c r="A57" s="4"/>
      <c r="J57" s="65" t="s">
        <v>36</v>
      </c>
      <c r="K57" s="13">
        <f>(FEDE*FEDEXMPT1)</f>
        <v>0</v>
      </c>
      <c r="L57" s="17"/>
      <c r="M57" s="64"/>
      <c r="R57" s="13" t="s">
        <v>353</v>
      </c>
      <c r="S57" s="13">
        <v>6</v>
      </c>
      <c r="T57" s="16">
        <v>1</v>
      </c>
      <c r="U57" s="6" t="s">
        <v>285</v>
      </c>
      <c r="V57" s="17"/>
      <c r="Z57" s="9">
        <v>61</v>
      </c>
      <c r="AA57" s="114">
        <v>863</v>
      </c>
      <c r="AB57" s="119">
        <v>0.115</v>
      </c>
      <c r="AC57" s="8" t="s">
        <v>150</v>
      </c>
      <c r="AJ57" s="8" t="s">
        <v>70</v>
      </c>
      <c r="AO57" s="107"/>
      <c r="AP57" s="108"/>
      <c r="AQ57" s="108"/>
      <c r="AR57" s="108"/>
      <c r="AS57" s="108"/>
    </row>
    <row r="58" spans="1:45" ht="15.75">
      <c r="A58" s="101" t="s">
        <v>343</v>
      </c>
      <c r="J58" s="65" t="s">
        <v>37</v>
      </c>
      <c r="M58" s="64"/>
      <c r="R58" s="13" t="s">
        <v>267</v>
      </c>
      <c r="S58" s="13">
        <v>7</v>
      </c>
      <c r="T58" s="16">
        <v>0.7035</v>
      </c>
      <c r="U58" s="6" t="s">
        <v>286</v>
      </c>
      <c r="Z58" s="9">
        <v>62</v>
      </c>
      <c r="AA58" s="114">
        <v>863</v>
      </c>
      <c r="AB58" s="119">
        <v>0.115</v>
      </c>
      <c r="AC58" s="8" t="s">
        <v>198</v>
      </c>
      <c r="AJ58" s="8" t="s">
        <v>72</v>
      </c>
      <c r="AK58" s="8" t="s">
        <v>73</v>
      </c>
      <c r="AO58" s="107"/>
      <c r="AP58" s="107"/>
      <c r="AQ58" s="108"/>
      <c r="AR58" s="108"/>
      <c r="AS58" s="108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R59" s="13" t="s">
        <v>283</v>
      </c>
      <c r="S59" s="13">
        <v>8</v>
      </c>
      <c r="T59" s="16">
        <v>0.7655</v>
      </c>
      <c r="U59" s="6" t="s">
        <v>286</v>
      </c>
      <c r="Z59" s="9">
        <v>63</v>
      </c>
      <c r="AA59" s="114">
        <v>238</v>
      </c>
      <c r="AB59" s="119">
        <v>0.08</v>
      </c>
      <c r="AC59" s="8" t="s">
        <v>150</v>
      </c>
      <c r="AJ59" s="8" t="s">
        <v>75</v>
      </c>
      <c r="AK59" s="6">
        <v>0</v>
      </c>
      <c r="AL59" s="6">
        <v>1</v>
      </c>
      <c r="AM59" s="6">
        <v>2</v>
      </c>
      <c r="AN59" s="32" t="s">
        <v>76</v>
      </c>
      <c r="AO59" s="107"/>
      <c r="AP59" s="108"/>
      <c r="AQ59" s="108"/>
      <c r="AR59" s="108"/>
      <c r="AS59" s="112"/>
    </row>
    <row r="60" spans="1:45" ht="15.75">
      <c r="A60" s="101" t="s">
        <v>344</v>
      </c>
      <c r="J60" s="65" t="s">
        <v>39</v>
      </c>
      <c r="K60" s="97">
        <f>ROUND(PAYFACT*TG2,2)</f>
        <v>0</v>
      </c>
      <c r="L60" s="17"/>
      <c r="M60" s="64"/>
      <c r="R60" s="13" t="s">
        <v>353</v>
      </c>
      <c r="S60" s="13">
        <v>9</v>
      </c>
      <c r="T60" s="16">
        <v>0.78</v>
      </c>
      <c r="U60" s="6" t="s">
        <v>286</v>
      </c>
      <c r="Z60" s="9">
        <v>64</v>
      </c>
      <c r="AA60" s="114">
        <v>317</v>
      </c>
      <c r="AB60" s="119">
        <v>0.08</v>
      </c>
      <c r="AC60" s="8" t="s">
        <v>198</v>
      </c>
      <c r="AJ60" s="8" t="s">
        <v>20</v>
      </c>
      <c r="AK60" s="6">
        <v>0</v>
      </c>
      <c r="AL60" s="193">
        <v>129.8</v>
      </c>
      <c r="AM60" s="193">
        <v>259.6</v>
      </c>
      <c r="AN60" s="193">
        <v>129.8</v>
      </c>
      <c r="AO60" s="107"/>
      <c r="AP60" s="108"/>
      <c r="AQ60" s="108"/>
      <c r="AR60" s="108"/>
      <c r="AS60" s="108"/>
    </row>
    <row r="61" spans="1:45" ht="15.75">
      <c r="A61" s="4" t="s">
        <v>354</v>
      </c>
      <c r="J61" s="65" t="s">
        <v>40</v>
      </c>
      <c r="K61" s="13">
        <f>(PAYFACT*TG3)</f>
        <v>0</v>
      </c>
      <c r="L61" s="17"/>
      <c r="M61" s="64"/>
      <c r="R61" s="13" t="s">
        <v>267</v>
      </c>
      <c r="S61" s="13">
        <v>10</v>
      </c>
      <c r="T61" s="16">
        <v>0.8575</v>
      </c>
      <c r="U61" s="6" t="s">
        <v>287</v>
      </c>
      <c r="Z61" s="9">
        <v>66</v>
      </c>
      <c r="AA61" s="114">
        <v>863</v>
      </c>
      <c r="AB61" s="119">
        <v>0.08</v>
      </c>
      <c r="AC61" s="8" t="s">
        <v>198</v>
      </c>
      <c r="AJ61" s="8" t="s">
        <v>78</v>
      </c>
      <c r="AK61" s="6">
        <v>0</v>
      </c>
      <c r="AL61" s="193">
        <v>129.8</v>
      </c>
      <c r="AM61" s="193">
        <v>259.6</v>
      </c>
      <c r="AN61" s="193">
        <v>129.8</v>
      </c>
      <c r="AO61" s="107"/>
      <c r="AP61" s="108"/>
      <c r="AQ61" s="108"/>
      <c r="AR61" s="108"/>
      <c r="AS61" s="108"/>
    </row>
    <row r="62" spans="1:29" ht="15.75">
      <c r="A62" s="4" t="s">
        <v>345</v>
      </c>
      <c r="J62" s="65" t="s">
        <v>41</v>
      </c>
      <c r="K62" s="13">
        <f>(PAYFACT*TG4)</f>
        <v>48000</v>
      </c>
      <c r="L62" s="17"/>
      <c r="M62" s="64"/>
      <c r="R62" s="13" t="s">
        <v>283</v>
      </c>
      <c r="S62" s="13">
        <v>11</v>
      </c>
      <c r="T62" s="16">
        <v>0.9195</v>
      </c>
      <c r="U62" s="6" t="s">
        <v>287</v>
      </c>
      <c r="Z62" s="9">
        <v>67</v>
      </c>
      <c r="AA62" s="114">
        <v>317</v>
      </c>
      <c r="AB62" s="119">
        <v>0.01</v>
      </c>
      <c r="AC62" s="8" t="s">
        <v>150</v>
      </c>
    </row>
    <row r="63" spans="1:29" ht="15.75">
      <c r="A63" s="4"/>
      <c r="J63" s="65" t="s">
        <v>42</v>
      </c>
      <c r="K63" s="13">
        <f>(PAYFACT*TG5)</f>
        <v>48000</v>
      </c>
      <c r="L63" s="17"/>
      <c r="M63" s="64"/>
      <c r="R63" s="13" t="s">
        <v>353</v>
      </c>
      <c r="S63" s="13">
        <v>12</v>
      </c>
      <c r="T63" s="16">
        <v>0.934</v>
      </c>
      <c r="U63" s="6" t="s">
        <v>287</v>
      </c>
      <c r="Z63" s="9">
        <v>68</v>
      </c>
      <c r="AA63" s="114">
        <v>317</v>
      </c>
      <c r="AB63" s="119">
        <v>0.01</v>
      </c>
      <c r="AC63" s="8" t="s">
        <v>198</v>
      </c>
    </row>
    <row r="64" spans="1:29" ht="15.75">
      <c r="A64" s="101" t="s">
        <v>551</v>
      </c>
      <c r="J64" s="65" t="s">
        <v>43</v>
      </c>
      <c r="K64" s="13">
        <f>(PAYFACT*TG6)</f>
        <v>48000</v>
      </c>
      <c r="L64" s="17"/>
      <c r="M64" s="64"/>
      <c r="Z64" s="188">
        <v>82</v>
      </c>
      <c r="AA64" s="115">
        <v>317</v>
      </c>
      <c r="AB64" s="119">
        <v>0.06</v>
      </c>
      <c r="AC64" s="57" t="s">
        <v>150</v>
      </c>
    </row>
    <row r="65" spans="1:29" ht="15.75">
      <c r="A65" s="4"/>
      <c r="C65" s="8"/>
      <c r="J65" s="14"/>
      <c r="Z65" s="9">
        <v>83</v>
      </c>
      <c r="AA65" s="114">
        <v>317</v>
      </c>
      <c r="AB65" s="119">
        <v>0.06</v>
      </c>
      <c r="AC65" s="8" t="s">
        <v>198</v>
      </c>
    </row>
    <row r="66" spans="1:29" ht="15.75">
      <c r="A66" s="100" t="s">
        <v>350</v>
      </c>
      <c r="J66" s="65" t="s">
        <v>44</v>
      </c>
      <c r="M66" s="64"/>
      <c r="T66" s="17"/>
      <c r="Z66" s="188">
        <v>84</v>
      </c>
      <c r="AA66" s="115">
        <v>238</v>
      </c>
      <c r="AB66" s="119">
        <v>0.08</v>
      </c>
      <c r="AC66" s="57" t="s">
        <v>150</v>
      </c>
    </row>
    <row r="67" spans="1:30" ht="15.75">
      <c r="A67" s="100"/>
      <c r="J67" s="65" t="s">
        <v>46</v>
      </c>
      <c r="K67" s="13">
        <f>ROUND(FAN1-FEDEXM,2)</f>
        <v>0</v>
      </c>
      <c r="L67" s="17"/>
      <c r="M67" s="64"/>
      <c r="T67" s="17"/>
      <c r="Z67" s="188">
        <v>86</v>
      </c>
      <c r="AA67" s="115">
        <v>238</v>
      </c>
      <c r="AB67" s="119">
        <v>0</v>
      </c>
      <c r="AC67" s="57" t="s">
        <v>198</v>
      </c>
      <c r="AD67" s="117"/>
    </row>
    <row r="68" spans="1:30" ht="15.75">
      <c r="A68" s="102" t="s">
        <v>371</v>
      </c>
      <c r="J68" s="65" t="s">
        <v>47</v>
      </c>
      <c r="K68" s="97">
        <f>(K60-FEDEXM)</f>
        <v>0</v>
      </c>
      <c r="L68" s="17"/>
      <c r="M68" s="64"/>
      <c r="Z68" s="188">
        <v>87</v>
      </c>
      <c r="AA68" s="115">
        <v>238</v>
      </c>
      <c r="AB68" s="119">
        <v>0.08</v>
      </c>
      <c r="AC68" s="57" t="s">
        <v>198</v>
      </c>
      <c r="AD68" s="117"/>
    </row>
    <row r="69" spans="1:30" ht="15.75">
      <c r="A69" s="1" t="s">
        <v>552</v>
      </c>
      <c r="J69" s="65" t="s">
        <v>48</v>
      </c>
      <c r="K69" s="13">
        <f>(K61-FEDEXM)</f>
        <v>0</v>
      </c>
      <c r="L69" s="17"/>
      <c r="M69" s="64"/>
      <c r="Z69" s="188">
        <v>88</v>
      </c>
      <c r="AA69" s="115">
        <v>238</v>
      </c>
      <c r="AB69" s="119">
        <v>0</v>
      </c>
      <c r="AC69" s="57" t="s">
        <v>150</v>
      </c>
      <c r="AD69" s="117"/>
    </row>
    <row r="70" spans="1:30" ht="15.75">
      <c r="A70" s="1"/>
      <c r="J70" s="65" t="s">
        <v>49</v>
      </c>
      <c r="K70" s="13">
        <f>(K62-FEDEXM)</f>
        <v>48000</v>
      </c>
      <c r="L70" s="17"/>
      <c r="M70" s="64"/>
      <c r="T70" s="17"/>
      <c r="Z70" s="188">
        <v>89</v>
      </c>
      <c r="AA70" s="115">
        <v>238</v>
      </c>
      <c r="AB70" s="119">
        <v>0.08</v>
      </c>
      <c r="AC70" s="57" t="s">
        <v>150</v>
      </c>
      <c r="AD70" s="117"/>
    </row>
    <row r="71" spans="1:30" ht="15.75">
      <c r="A71" s="100" t="s">
        <v>355</v>
      </c>
      <c r="J71" s="65" t="s">
        <v>50</v>
      </c>
      <c r="K71" s="13">
        <f>(K63-FEDEXM)</f>
        <v>48000</v>
      </c>
      <c r="L71" s="17"/>
      <c r="M71" s="64"/>
      <c r="T71" s="17"/>
      <c r="Z71" s="9">
        <v>91</v>
      </c>
      <c r="AA71" s="114">
        <v>0</v>
      </c>
      <c r="AB71" s="119">
        <v>0</v>
      </c>
      <c r="AC71" s="8" t="s">
        <v>198</v>
      </c>
      <c r="AD71" s="117"/>
    </row>
    <row r="72" spans="1:30" ht="15.75">
      <c r="A72" s="1" t="s">
        <v>372</v>
      </c>
      <c r="J72" s="65" t="s">
        <v>51</v>
      </c>
      <c r="K72" s="13">
        <f>(K64-FEDEXM)</f>
        <v>48000</v>
      </c>
      <c r="L72" s="17"/>
      <c r="M72" s="64"/>
      <c r="T72" s="17"/>
      <c r="Z72" s="9">
        <v>92</v>
      </c>
      <c r="AA72" s="114">
        <v>0</v>
      </c>
      <c r="AB72" s="119">
        <v>0</v>
      </c>
      <c r="AC72" s="8" t="s">
        <v>198</v>
      </c>
      <c r="AD72" s="117"/>
    </row>
    <row r="73" spans="1:30" ht="15.75">
      <c r="A73" s="1" t="s">
        <v>373</v>
      </c>
      <c r="J73" s="14"/>
      <c r="T73" s="17"/>
      <c r="Z73" s="9">
        <v>93</v>
      </c>
      <c r="AA73" s="114">
        <v>317</v>
      </c>
      <c r="AB73" s="119">
        <v>0.01</v>
      </c>
      <c r="AC73" s="8" t="s">
        <v>198</v>
      </c>
      <c r="AD73" s="117"/>
    </row>
    <row r="74" spans="1:30" ht="15.75">
      <c r="A74" s="1"/>
      <c r="J74" s="65" t="s">
        <v>52</v>
      </c>
      <c r="M74" s="64"/>
      <c r="T74" s="17"/>
      <c r="Z74" s="9">
        <v>94</v>
      </c>
      <c r="AA74" s="114">
        <v>513</v>
      </c>
      <c r="AB74" s="119">
        <v>0.05</v>
      </c>
      <c r="AC74" s="8" t="s">
        <v>199</v>
      </c>
      <c r="AD74" s="117"/>
    </row>
    <row r="75" spans="1:30" ht="15.75">
      <c r="A75" s="100" t="s">
        <v>374</v>
      </c>
      <c r="J75" s="65" t="s">
        <v>54</v>
      </c>
      <c r="K75" s="13">
        <f>IF(OR(FEDM="S",FEDM="H"),VLOOKUP(FTG1,FTXTBLSH1,1),IF(FEDM="M",VLOOKUP(FTG1,FTXTBLM1,1),0))</f>
        <v>-999999</v>
      </c>
      <c r="L75" s="17"/>
      <c r="M75" s="64"/>
      <c r="T75" s="17"/>
      <c r="Z75" s="9">
        <v>95</v>
      </c>
      <c r="AA75" s="114">
        <v>0</v>
      </c>
      <c r="AB75" s="119">
        <v>0.0375</v>
      </c>
      <c r="AC75" s="8" t="s">
        <v>199</v>
      </c>
      <c r="AD75" s="117"/>
    </row>
    <row r="76" spans="1:30" ht="15.75">
      <c r="A76" s="1" t="s">
        <v>459</v>
      </c>
      <c r="J76" s="65" t="s">
        <v>55</v>
      </c>
      <c r="K76" s="13">
        <f>IF(OR(FEDM="S",FEDM="H"),VLOOKUP(K68,FTXTBLSH1,1),IF(FEDM="M",VLOOKUP(K68,FTXTBLM1,1),0))</f>
        <v>-999999</v>
      </c>
      <c r="L76" s="17"/>
      <c r="M76" s="64"/>
      <c r="Z76" s="9">
        <v>96</v>
      </c>
      <c r="AA76" s="114">
        <v>0</v>
      </c>
      <c r="AB76" s="119">
        <v>0.0375</v>
      </c>
      <c r="AC76" s="8" t="s">
        <v>199</v>
      </c>
      <c r="AD76" s="117"/>
    </row>
    <row r="77" spans="1:30" ht="15.75">
      <c r="A77" s="1" t="s">
        <v>327</v>
      </c>
      <c r="J77" s="65" t="s">
        <v>56</v>
      </c>
      <c r="K77" s="13">
        <f>IF(OR(FEDM="S",FEDM="H"),VLOOKUP(K69,FTXTBLSH1,1),IF(FEDM="M",VLOOKUP(K69,FTXTBLM1,1),0))</f>
        <v>-999999</v>
      </c>
      <c r="L77" s="17"/>
      <c r="M77" s="64"/>
      <c r="Z77" s="9">
        <v>97</v>
      </c>
      <c r="AA77" s="114">
        <v>317</v>
      </c>
      <c r="AB77" s="119">
        <v>0.01</v>
      </c>
      <c r="AC77" s="8" t="s">
        <v>150</v>
      </c>
      <c r="AD77" s="117"/>
    </row>
    <row r="78" spans="1:30" ht="15.75">
      <c r="A78" s="4" t="s">
        <v>328</v>
      </c>
      <c r="J78" s="65" t="s">
        <v>387</v>
      </c>
      <c r="K78" s="13">
        <f>IF(OR(FEDM="S",FEDM="H"),VLOOKUP(K70,FTXTBLSH1,1),IF(FEDM="M",VLOOKUP(K70,FTXTBLM1,1),0))</f>
        <v>31200</v>
      </c>
      <c r="L78" s="17"/>
      <c r="M78" s="64"/>
      <c r="T78" s="17"/>
      <c r="Z78" s="9">
        <v>98</v>
      </c>
      <c r="AA78" s="114">
        <v>0</v>
      </c>
      <c r="AB78" s="119">
        <v>0.015</v>
      </c>
      <c r="AC78" s="8" t="s">
        <v>150</v>
      </c>
      <c r="AD78" s="117"/>
    </row>
    <row r="79" spans="1:30" ht="15.75">
      <c r="A79" s="101"/>
      <c r="J79" s="65" t="s">
        <v>388</v>
      </c>
      <c r="K79" s="13">
        <f>IF(OR(FEDM="S",FEDM="H"),VLOOKUP(K71,FTXTBLSH1,1),IF(FEDM="M",VLOOKUP(K71,FTXTBLM1,1),0))</f>
        <v>31200</v>
      </c>
      <c r="L79" s="17"/>
      <c r="M79" s="64"/>
      <c r="T79" s="17"/>
      <c r="Z79" s="9">
        <v>99</v>
      </c>
      <c r="AA79" s="114">
        <v>513</v>
      </c>
      <c r="AB79" s="119">
        <v>0</v>
      </c>
      <c r="AC79" s="8" t="s">
        <v>199</v>
      </c>
      <c r="AD79" s="57"/>
    </row>
    <row r="80" spans="1:30" ht="15.75">
      <c r="A80" s="101" t="s">
        <v>375</v>
      </c>
      <c r="J80" s="65" t="s">
        <v>389</v>
      </c>
      <c r="K80" s="13">
        <f>IF(OR(FEDM="S",FEDM="H"),VLOOKUP(K72,FTXTBLSH1,1),IF(FEDM="M",VLOOKUP(K72,FTXTBLM1,1),0))</f>
        <v>31200</v>
      </c>
      <c r="L80" s="17"/>
      <c r="M80" s="64"/>
      <c r="T80" s="17"/>
      <c r="Z80" s="9" t="s">
        <v>200</v>
      </c>
      <c r="AA80" s="114">
        <v>317</v>
      </c>
      <c r="AB80" s="119">
        <v>0.07</v>
      </c>
      <c r="AC80" s="8" t="s">
        <v>150</v>
      </c>
      <c r="AD80" s="117"/>
    </row>
    <row r="81" spans="1:30" ht="15.75">
      <c r="A81" s="3"/>
      <c r="J81" s="14"/>
      <c r="T81" s="17"/>
      <c r="Z81" s="9" t="s">
        <v>409</v>
      </c>
      <c r="AA81" s="114">
        <v>317</v>
      </c>
      <c r="AB81" s="119">
        <v>0.11</v>
      </c>
      <c r="AC81" s="8" t="s">
        <v>198</v>
      </c>
      <c r="AD81" s="117"/>
    </row>
    <row r="82" spans="1:30" ht="15.75">
      <c r="A82" s="101" t="s">
        <v>346</v>
      </c>
      <c r="J82" s="65" t="s">
        <v>58</v>
      </c>
      <c r="M82" s="64"/>
      <c r="T82" s="17"/>
      <c r="Z82" s="9" t="s">
        <v>410</v>
      </c>
      <c r="AA82" s="114">
        <v>317</v>
      </c>
      <c r="AB82" s="119">
        <v>0.11</v>
      </c>
      <c r="AC82" s="8" t="s">
        <v>150</v>
      </c>
      <c r="AD82" s="117"/>
    </row>
    <row r="83" spans="1:30" ht="15.75">
      <c r="A83" s="4" t="s">
        <v>329</v>
      </c>
      <c r="J83" s="65" t="s">
        <v>59</v>
      </c>
      <c r="K83" s="13">
        <f>IF(OR(FEDM="S",FEDM="H"),VLOOKUP(FTG1,FTXTBLSH1,2),IF(FEDM="M",VLOOKUP(FTG1,FTXTBLM1,2),0))</f>
        <v>0</v>
      </c>
      <c r="L83" s="17"/>
      <c r="M83" s="64"/>
      <c r="T83" s="17"/>
      <c r="Z83" s="9" t="s">
        <v>411</v>
      </c>
      <c r="AA83" s="114">
        <v>317</v>
      </c>
      <c r="AB83" s="119">
        <v>0.11</v>
      </c>
      <c r="AC83" s="8" t="s">
        <v>150</v>
      </c>
      <c r="AD83" s="57"/>
    </row>
    <row r="84" spans="1:30" ht="15.75">
      <c r="A84" s="2" t="s">
        <v>376</v>
      </c>
      <c r="J84" s="65" t="s">
        <v>60</v>
      </c>
      <c r="K84" s="13">
        <f>IF(OR(FEDM="S",FEDM="H"),VLOOKUP(K68,FTXTBLSH1,2),IF(FEDM="M",VLOOKUP(K68,FTXTBLM1,2),0))</f>
        <v>0</v>
      </c>
      <c r="L84" s="17"/>
      <c r="M84" s="64"/>
      <c r="Z84" s="9" t="s">
        <v>412</v>
      </c>
      <c r="AA84" s="114">
        <v>317</v>
      </c>
      <c r="AB84" s="119">
        <v>0.11</v>
      </c>
      <c r="AC84" s="8" t="s">
        <v>198</v>
      </c>
      <c r="AD84" s="57"/>
    </row>
    <row r="85" spans="1:30" ht="15.75">
      <c r="A85" s="1" t="s">
        <v>377</v>
      </c>
      <c r="J85" s="65" t="s">
        <v>61</v>
      </c>
      <c r="K85" s="13">
        <f>IF(OR(FEDM="S",FEDM="H"),VLOOKUP(K69,FTXTBLSH1,2),IF(FEDM="M",VLOOKUP(K69,FTXTBLM1,2),0))</f>
        <v>0</v>
      </c>
      <c r="L85" s="17"/>
      <c r="M85" s="64"/>
      <c r="Z85" s="9" t="s">
        <v>413</v>
      </c>
      <c r="AA85" s="114">
        <v>317</v>
      </c>
      <c r="AB85" s="119">
        <v>0.11</v>
      </c>
      <c r="AC85" s="8" t="s">
        <v>150</v>
      </c>
      <c r="AD85" s="57"/>
    </row>
    <row r="86" spans="1:30" ht="15.75">
      <c r="A86" s="1"/>
      <c r="J86" s="65" t="s">
        <v>62</v>
      </c>
      <c r="K86" s="13">
        <f>IF(OR(FEDM="S",FEDM="H"),VLOOKUP(K70,FTXTBLSH1,2),IF(FEDM="M",VLOOKUP(K70,FTXTBLM1,2),0))</f>
        <v>0.12</v>
      </c>
      <c r="L86" s="17"/>
      <c r="M86" s="64"/>
      <c r="T86" s="17"/>
      <c r="Z86" s="9" t="s">
        <v>414</v>
      </c>
      <c r="AA86" s="114">
        <v>317</v>
      </c>
      <c r="AB86" s="119">
        <v>0.11</v>
      </c>
      <c r="AC86" s="8" t="s">
        <v>198</v>
      </c>
      <c r="AD86" s="57"/>
    </row>
    <row r="87" spans="1:30" ht="15.75">
      <c r="A87" s="100" t="s">
        <v>553</v>
      </c>
      <c r="J87" s="65" t="s">
        <v>63</v>
      </c>
      <c r="K87" s="13">
        <f>IF(OR(FEDM="S",FEDM="H"),VLOOKUP(K71,FTXTBLSH1,2),IF(FEDM="M",VLOOKUP(K71,FTXTBLM1,2),0))</f>
        <v>0.12</v>
      </c>
      <c r="L87" s="17"/>
      <c r="M87" s="64"/>
      <c r="T87" s="17"/>
      <c r="Z87" s="9" t="s">
        <v>449</v>
      </c>
      <c r="AA87" s="114">
        <v>317</v>
      </c>
      <c r="AB87" s="119">
        <v>0.11</v>
      </c>
      <c r="AC87" s="8" t="s">
        <v>198</v>
      </c>
      <c r="AD87" s="57"/>
    </row>
    <row r="88" spans="1:30" ht="15.75">
      <c r="A88" s="1" t="s">
        <v>380</v>
      </c>
      <c r="J88" s="65" t="s">
        <v>64</v>
      </c>
      <c r="K88" s="13">
        <f>IF(OR(FEDM="S",FEDM="H"),VLOOKUP(K72,FTXTBLSH1,2),IF(FEDM="M",VLOOKUP(K72,FTXTBLM1,2),0))</f>
        <v>0.12</v>
      </c>
      <c r="L88" s="17"/>
      <c r="M88" s="64"/>
      <c r="T88" s="17"/>
      <c r="Z88" s="9" t="s">
        <v>450</v>
      </c>
      <c r="AA88" s="114">
        <v>317</v>
      </c>
      <c r="AB88" s="119">
        <v>0.11</v>
      </c>
      <c r="AC88" s="8" t="s">
        <v>150</v>
      </c>
      <c r="AD88" s="117"/>
    </row>
    <row r="89" spans="1:30" ht="15.75">
      <c r="A89" s="1"/>
      <c r="J89" s="14"/>
      <c r="T89" s="17"/>
      <c r="Z89" s="9" t="s">
        <v>415</v>
      </c>
      <c r="AA89" s="114">
        <v>317</v>
      </c>
      <c r="AB89" s="119">
        <v>0.11</v>
      </c>
      <c r="AC89" s="8" t="s">
        <v>150</v>
      </c>
      <c r="AD89" s="117"/>
    </row>
    <row r="90" spans="1:30" ht="15.75">
      <c r="A90" s="100" t="s">
        <v>554</v>
      </c>
      <c r="J90" s="65" t="s">
        <v>65</v>
      </c>
      <c r="M90" s="64"/>
      <c r="T90" s="17"/>
      <c r="Z90" s="9" t="s">
        <v>416</v>
      </c>
      <c r="AA90" s="114">
        <v>317</v>
      </c>
      <c r="AB90" s="119">
        <v>0.11</v>
      </c>
      <c r="AC90" s="8" t="s">
        <v>198</v>
      </c>
      <c r="AD90" s="117"/>
    </row>
    <row r="91" spans="1:30" ht="15.75">
      <c r="A91" s="1" t="s">
        <v>526</v>
      </c>
      <c r="J91" s="65" t="s">
        <v>66</v>
      </c>
      <c r="K91" s="13">
        <f>IF(OR(FEDM="S",FEDM="H"),VLOOKUP(FTG1,FTXTBLSH1,3),IF(FEDM="M",VLOOKUP(FTG1,FTXTBLM1,3),0))</f>
        <v>0</v>
      </c>
      <c r="L91" s="17"/>
      <c r="M91" s="64"/>
      <c r="T91" s="17"/>
      <c r="Z91" s="9" t="s">
        <v>508</v>
      </c>
      <c r="AA91" s="114">
        <v>0</v>
      </c>
      <c r="AB91" s="119">
        <v>0.09</v>
      </c>
      <c r="AC91" s="8" t="s">
        <v>150</v>
      </c>
      <c r="AD91" s="117"/>
    </row>
    <row r="92" spans="1:30" ht="15.75">
      <c r="A92" s="1"/>
      <c r="J92" s="65" t="s">
        <v>67</v>
      </c>
      <c r="K92" s="13">
        <f>IF(OR(FEDM="S",FEDM="H"),VLOOKUP(K68,FTXTBLSH1,3),IF(FEDM="M",VLOOKUP(K68,FTXTBLM1,3),0))</f>
        <v>0</v>
      </c>
      <c r="L92" s="17"/>
      <c r="M92" s="64"/>
      <c r="Z92" s="9" t="s">
        <v>451</v>
      </c>
      <c r="AA92" s="114">
        <v>317</v>
      </c>
      <c r="AB92" s="119">
        <v>0.11</v>
      </c>
      <c r="AC92" s="8" t="s">
        <v>150</v>
      </c>
      <c r="AD92" s="117"/>
    </row>
    <row r="93" spans="1:30" ht="15.75">
      <c r="A93" s="100" t="s">
        <v>562</v>
      </c>
      <c r="J93" s="65" t="s">
        <v>68</v>
      </c>
      <c r="K93" s="13">
        <f>IF(OR(FEDM="S",FEDM="H"),VLOOKUP(K69,FTXTBLSH1,3),IF(FEDM="M",VLOOKUP(K69,FTXTBLM1,3),0))</f>
        <v>0</v>
      </c>
      <c r="L93" s="17"/>
      <c r="M93" s="64"/>
      <c r="Z93" s="188" t="s">
        <v>483</v>
      </c>
      <c r="AA93" s="115">
        <v>317</v>
      </c>
      <c r="AB93" s="119">
        <v>0.105</v>
      </c>
      <c r="AC93" s="57" t="s">
        <v>198</v>
      </c>
      <c r="AD93" s="117"/>
    </row>
    <row r="94" spans="1:30" ht="15.75">
      <c r="A94" s="1" t="s">
        <v>520</v>
      </c>
      <c r="J94" s="65" t="s">
        <v>69</v>
      </c>
      <c r="K94" s="13">
        <f>IF(OR(FEDM="S",FEDM="H"),VLOOKUP(K70,FTXTBLSH1,3),IF(FEDM="M",VLOOKUP(K70,FTXTBLM1,3),0))</f>
        <v>1940</v>
      </c>
      <c r="L94" s="17"/>
      <c r="M94" s="64"/>
      <c r="T94" s="17"/>
      <c r="Z94" s="9" t="s">
        <v>452</v>
      </c>
      <c r="AA94" s="114">
        <v>317</v>
      </c>
      <c r="AB94" s="119">
        <v>0.11</v>
      </c>
      <c r="AC94" s="8" t="s">
        <v>198</v>
      </c>
      <c r="AD94" s="117"/>
    </row>
    <row r="95" spans="1:30" ht="15.75">
      <c r="A95" s="1" t="s">
        <v>521</v>
      </c>
      <c r="J95" s="65" t="s">
        <v>71</v>
      </c>
      <c r="K95" s="13">
        <f>IF(OR(FEDM="S",FEDM="H"),VLOOKUP(K71,FTXTBLSH1,3),IF(FEDM="M",VLOOKUP(K71,FTXTBLM1,3),0))</f>
        <v>1940</v>
      </c>
      <c r="L95" s="17"/>
      <c r="M95" s="64"/>
      <c r="T95" s="17"/>
      <c r="Z95" s="9" t="s">
        <v>453</v>
      </c>
      <c r="AA95" s="114">
        <v>317</v>
      </c>
      <c r="AB95" s="119">
        <v>0.11</v>
      </c>
      <c r="AC95" s="8" t="s">
        <v>150</v>
      </c>
      <c r="AD95" s="117"/>
    </row>
    <row r="96" spans="1:30" ht="15.75">
      <c r="A96" s="1"/>
      <c r="J96" s="65" t="s">
        <v>74</v>
      </c>
      <c r="K96" s="13">
        <f>IF(OR(FEDM="S",FEDM="H"),VLOOKUP(K72,FTXTBLSH1,3),IF(FEDM="M",VLOOKUP(K72,FTXTBLM1,3),0))</f>
        <v>1940</v>
      </c>
      <c r="L96" s="17"/>
      <c r="M96" s="64"/>
      <c r="T96" s="17"/>
      <c r="Z96" s="9" t="s">
        <v>454</v>
      </c>
      <c r="AA96" s="114">
        <v>317</v>
      </c>
      <c r="AB96" s="119">
        <v>0.11</v>
      </c>
      <c r="AC96" s="8" t="s">
        <v>198</v>
      </c>
      <c r="AD96" s="117"/>
    </row>
    <row r="97" spans="1:30" ht="15.75">
      <c r="A97" s="100" t="s">
        <v>555</v>
      </c>
      <c r="J97" s="14"/>
      <c r="T97" s="17"/>
      <c r="Z97" s="9" t="s">
        <v>565</v>
      </c>
      <c r="AA97" s="114">
        <v>317</v>
      </c>
      <c r="AB97" s="119">
        <v>0.06</v>
      </c>
      <c r="AC97" s="8" t="s">
        <v>150</v>
      </c>
      <c r="AD97" s="117"/>
    </row>
    <row r="98" spans="1:30" ht="15.75">
      <c r="A98" s="1" t="s">
        <v>522</v>
      </c>
      <c r="J98" s="65" t="s">
        <v>77</v>
      </c>
      <c r="M98" s="64"/>
      <c r="T98" s="17"/>
      <c r="Z98" s="188" t="s">
        <v>467</v>
      </c>
      <c r="AA98" s="115">
        <v>317</v>
      </c>
      <c r="AB98" s="119">
        <v>0.11</v>
      </c>
      <c r="AC98" s="57" t="s">
        <v>150</v>
      </c>
      <c r="AD98" s="117"/>
    </row>
    <row r="99" spans="1:30" ht="15.75">
      <c r="A99" s="1" t="s">
        <v>523</v>
      </c>
      <c r="J99" s="65" t="s">
        <v>79</v>
      </c>
      <c r="K99" s="13">
        <f>ROUND(FTG1-FBSA1,2)</f>
        <v>999999</v>
      </c>
      <c r="L99" s="17"/>
      <c r="M99" s="64"/>
      <c r="T99" s="17"/>
      <c r="Z99" s="188" t="s">
        <v>468</v>
      </c>
      <c r="AA99" s="115">
        <v>317</v>
      </c>
      <c r="AB99" s="119">
        <v>0.11</v>
      </c>
      <c r="AC99" s="57" t="s">
        <v>198</v>
      </c>
      <c r="AD99" s="117"/>
    </row>
    <row r="100" spans="1:30" ht="15.75">
      <c r="A100" s="100"/>
      <c r="J100" s="65" t="s">
        <v>80</v>
      </c>
      <c r="K100" s="97">
        <f>ROUND(K68-K76,2)</f>
        <v>999999</v>
      </c>
      <c r="L100" s="17"/>
      <c r="M100" s="64"/>
      <c r="Z100" s="188" t="s">
        <v>482</v>
      </c>
      <c r="AA100" s="115">
        <v>317</v>
      </c>
      <c r="AB100" s="119">
        <v>0.11</v>
      </c>
      <c r="AC100" s="57" t="s">
        <v>150</v>
      </c>
      <c r="AD100" s="117"/>
    </row>
    <row r="101" spans="1:30" ht="15.75">
      <c r="A101" s="100" t="s">
        <v>556</v>
      </c>
      <c r="J101" s="65" t="s">
        <v>81</v>
      </c>
      <c r="K101" s="13">
        <f>(K69-K77)</f>
        <v>999999</v>
      </c>
      <c r="L101" s="17"/>
      <c r="M101" s="64"/>
      <c r="Z101" s="188" t="s">
        <v>503</v>
      </c>
      <c r="AA101" s="115">
        <v>317</v>
      </c>
      <c r="AB101" s="119">
        <v>0.135</v>
      </c>
      <c r="AC101" s="57" t="s">
        <v>198</v>
      </c>
      <c r="AD101" s="57"/>
    </row>
    <row r="102" spans="1:29" ht="15.75">
      <c r="A102" s="1" t="s">
        <v>560</v>
      </c>
      <c r="J102" s="65" t="s">
        <v>82</v>
      </c>
      <c r="K102" s="13">
        <f>(K70-K78)</f>
        <v>16800</v>
      </c>
      <c r="L102" s="17"/>
      <c r="M102" s="64"/>
      <c r="T102" s="17"/>
      <c r="Z102" s="188" t="s">
        <v>504</v>
      </c>
      <c r="AA102" s="115">
        <v>317</v>
      </c>
      <c r="AB102" s="119">
        <v>0.135</v>
      </c>
      <c r="AC102" s="57" t="s">
        <v>150</v>
      </c>
    </row>
    <row r="103" spans="1:30" ht="15.75">
      <c r="A103" s="1" t="s">
        <v>559</v>
      </c>
      <c r="J103" s="65" t="s">
        <v>83</v>
      </c>
      <c r="K103" s="13">
        <f>(K71-K79)</f>
        <v>16800</v>
      </c>
      <c r="L103" s="17"/>
      <c r="M103" s="64"/>
      <c r="T103" s="17"/>
      <c r="Z103" s="9" t="s">
        <v>417</v>
      </c>
      <c r="AA103" s="114">
        <v>317</v>
      </c>
      <c r="AB103" s="119">
        <v>0.11</v>
      </c>
      <c r="AC103" s="8" t="s">
        <v>198</v>
      </c>
      <c r="AD103" s="117"/>
    </row>
    <row r="104" spans="1:30" ht="15.75">
      <c r="A104" s="1"/>
      <c r="J104" s="65" t="s">
        <v>84</v>
      </c>
      <c r="K104" s="13">
        <f>(K72-K80)</f>
        <v>16800</v>
      </c>
      <c r="L104" s="17"/>
      <c r="M104" s="64"/>
      <c r="T104" s="17"/>
      <c r="Z104" s="9" t="s">
        <v>418</v>
      </c>
      <c r="AA104" s="114">
        <v>317</v>
      </c>
      <c r="AB104" s="119">
        <v>0.11</v>
      </c>
      <c r="AC104" s="8" t="s">
        <v>150</v>
      </c>
      <c r="AD104" s="117"/>
    </row>
    <row r="105" spans="1:30" ht="15.75">
      <c r="A105" s="100" t="s">
        <v>557</v>
      </c>
      <c r="J105" s="14"/>
      <c r="T105" s="17"/>
      <c r="Z105" s="9" t="s">
        <v>419</v>
      </c>
      <c r="AA105" s="114">
        <v>513</v>
      </c>
      <c r="AB105" s="119">
        <v>0.1</v>
      </c>
      <c r="AC105" s="8" t="s">
        <v>199</v>
      </c>
      <c r="AD105" s="117"/>
    </row>
    <row r="106" spans="1:30" ht="15.75">
      <c r="A106" s="3" t="s">
        <v>558</v>
      </c>
      <c r="J106" s="65" t="s">
        <v>85</v>
      </c>
      <c r="M106" s="64"/>
      <c r="T106" s="17"/>
      <c r="Z106" s="9" t="s">
        <v>420</v>
      </c>
      <c r="AA106" s="114">
        <v>513</v>
      </c>
      <c r="AB106" s="119">
        <v>0.1</v>
      </c>
      <c r="AC106" s="8" t="s">
        <v>199</v>
      </c>
      <c r="AD106" s="117"/>
    </row>
    <row r="107" spans="1:30" ht="15.75">
      <c r="A107" s="3" t="s">
        <v>524</v>
      </c>
      <c r="J107" s="65" t="s">
        <v>86</v>
      </c>
      <c r="K107" s="36">
        <f>(FBST1+ROUND(FOVR1*FMTR1,5))</f>
        <v>0</v>
      </c>
      <c r="L107" s="17"/>
      <c r="M107" s="64"/>
      <c r="T107" s="17"/>
      <c r="Z107" s="9" t="s">
        <v>421</v>
      </c>
      <c r="AA107" s="114">
        <v>513</v>
      </c>
      <c r="AB107" s="119">
        <v>0.1</v>
      </c>
      <c r="AC107" s="8" t="s">
        <v>199</v>
      </c>
      <c r="AD107" s="57"/>
    </row>
    <row r="108" spans="1:30" ht="15.75">
      <c r="A108" s="103"/>
      <c r="J108" s="65" t="s">
        <v>87</v>
      </c>
      <c r="K108" s="36">
        <f>(K92+ROUND(K100*FMTR2,5))</f>
        <v>0</v>
      </c>
      <c r="L108" s="17"/>
      <c r="M108" s="64"/>
      <c r="Z108" s="9" t="s">
        <v>422</v>
      </c>
      <c r="AA108" s="114">
        <v>513</v>
      </c>
      <c r="AB108" s="119">
        <v>0.1</v>
      </c>
      <c r="AC108" s="8" t="s">
        <v>199</v>
      </c>
      <c r="AD108" s="57"/>
    </row>
    <row r="109" spans="1:30" ht="15.75">
      <c r="A109" s="100" t="s">
        <v>381</v>
      </c>
      <c r="J109" s="65" t="s">
        <v>88</v>
      </c>
      <c r="K109" s="36">
        <f>(K93+ROUND(K101*FMTR3,5))</f>
        <v>0</v>
      </c>
      <c r="L109" s="17"/>
      <c r="M109" s="64"/>
      <c r="Z109" s="9" t="s">
        <v>423</v>
      </c>
      <c r="AA109" s="114">
        <v>513</v>
      </c>
      <c r="AB109" s="119">
        <v>0.1</v>
      </c>
      <c r="AC109" s="8" t="s">
        <v>199</v>
      </c>
      <c r="AD109" s="57"/>
    </row>
    <row r="110" spans="1:29" ht="15.75">
      <c r="A110" s="1" t="s">
        <v>382</v>
      </c>
      <c r="J110" s="65" t="s">
        <v>89</v>
      </c>
      <c r="K110" s="36">
        <f>(K94+ROUND(K102*FMTR4,5))</f>
        <v>3956</v>
      </c>
      <c r="L110" s="17"/>
      <c r="M110" s="64"/>
      <c r="T110" s="17"/>
      <c r="Z110" s="9" t="s">
        <v>424</v>
      </c>
      <c r="AA110" s="114">
        <v>513</v>
      </c>
      <c r="AB110" s="119">
        <v>0.1</v>
      </c>
      <c r="AC110" s="8" t="s">
        <v>199</v>
      </c>
    </row>
    <row r="111" spans="1:29" ht="15.75">
      <c r="A111" s="1"/>
      <c r="J111" s="65" t="s">
        <v>90</v>
      </c>
      <c r="K111" s="36">
        <f>(K95+ROUND(K103*FMTR5,5))</f>
        <v>3956</v>
      </c>
      <c r="L111" s="17"/>
      <c r="M111" s="64"/>
      <c r="T111" s="17"/>
      <c r="Z111" s="9" t="s">
        <v>495</v>
      </c>
      <c r="AA111" s="114">
        <v>513</v>
      </c>
      <c r="AB111" s="119">
        <v>0.08</v>
      </c>
      <c r="AC111" s="8" t="s">
        <v>199</v>
      </c>
    </row>
    <row r="112" spans="1:29" ht="15.75">
      <c r="A112" s="1" t="s">
        <v>385</v>
      </c>
      <c r="J112" s="65" t="s">
        <v>298</v>
      </c>
      <c r="K112" s="36">
        <f>(K96+ROUND(K104*FMTR6,5))</f>
        <v>3956</v>
      </c>
      <c r="L112" s="17"/>
      <c r="M112" s="64"/>
      <c r="T112" s="17"/>
      <c r="Z112" s="9" t="s">
        <v>425</v>
      </c>
      <c r="AA112" s="114">
        <v>513</v>
      </c>
      <c r="AB112" s="119">
        <v>0.1</v>
      </c>
      <c r="AC112" s="8" t="s">
        <v>199</v>
      </c>
    </row>
    <row r="113" spans="1:29" ht="15.75">
      <c r="A113" s="1" t="s">
        <v>386</v>
      </c>
      <c r="J113" s="14"/>
      <c r="T113" s="17"/>
      <c r="Z113" s="9" t="s">
        <v>445</v>
      </c>
      <c r="AA113" s="114">
        <v>317</v>
      </c>
      <c r="AB113" s="119">
        <v>0.09</v>
      </c>
      <c r="AC113" s="8" t="s">
        <v>198</v>
      </c>
    </row>
    <row r="114" spans="1:30" ht="15.75">
      <c r="A114" s="1" t="s">
        <v>525</v>
      </c>
      <c r="J114" s="65" t="s">
        <v>91</v>
      </c>
      <c r="M114" s="64"/>
      <c r="T114" s="17"/>
      <c r="Z114" s="9" t="s">
        <v>426</v>
      </c>
      <c r="AA114" s="114">
        <v>513</v>
      </c>
      <c r="AB114" s="119">
        <v>0.1</v>
      </c>
      <c r="AC114" s="8" t="s">
        <v>199</v>
      </c>
      <c r="AD114" s="117"/>
    </row>
    <row r="115" spans="1:30" ht="15.75">
      <c r="A115" s="1"/>
      <c r="J115" s="65" t="s">
        <v>92</v>
      </c>
      <c r="K115" s="13">
        <f>ROUND(FTA1/PAYFACT,2)</f>
        <v>0</v>
      </c>
      <c r="L115" s="17"/>
      <c r="M115" s="64"/>
      <c r="T115" s="17"/>
      <c r="Z115" s="9" t="s">
        <v>447</v>
      </c>
      <c r="AA115" s="114">
        <v>513</v>
      </c>
      <c r="AB115" s="119">
        <v>0.08</v>
      </c>
      <c r="AC115" s="8" t="s">
        <v>199</v>
      </c>
      <c r="AD115" s="117"/>
    </row>
    <row r="116" spans="1:30" ht="15.75">
      <c r="A116" s="1" t="s">
        <v>383</v>
      </c>
      <c r="J116" s="65" t="s">
        <v>93</v>
      </c>
      <c r="K116" s="13">
        <f>ROUND(K108/PAYFACT,2)</f>
        <v>0</v>
      </c>
      <c r="L116" s="17"/>
      <c r="M116" s="64"/>
      <c r="Z116" s="9" t="s">
        <v>509</v>
      </c>
      <c r="AA116" s="114">
        <v>0</v>
      </c>
      <c r="AB116" s="119">
        <v>0.0725</v>
      </c>
      <c r="AC116" s="8" t="s">
        <v>199</v>
      </c>
      <c r="AD116" s="57"/>
    </row>
    <row r="117" spans="1:30" ht="15.75">
      <c r="A117" s="1" t="s">
        <v>384</v>
      </c>
      <c r="J117" s="65" t="s">
        <v>94</v>
      </c>
      <c r="K117" s="13">
        <f>ROUND(K109/PAYFACT,2)</f>
        <v>0</v>
      </c>
      <c r="L117" s="17"/>
      <c r="M117" s="64"/>
      <c r="Z117" s="9" t="s">
        <v>566</v>
      </c>
      <c r="AA117" s="114">
        <v>513</v>
      </c>
      <c r="AB117" s="119">
        <v>0.125</v>
      </c>
      <c r="AC117" s="8" t="s">
        <v>199</v>
      </c>
      <c r="AD117" s="57"/>
    </row>
    <row r="118" spans="1:30" ht="15.75">
      <c r="A118" s="1"/>
      <c r="J118" s="65" t="s">
        <v>95</v>
      </c>
      <c r="K118" s="13">
        <f>ROUND(K110/PAYFACT,2)</f>
        <v>329.67</v>
      </c>
      <c r="L118" s="17"/>
      <c r="M118" s="64"/>
      <c r="Z118" s="9" t="s">
        <v>427</v>
      </c>
      <c r="AA118" s="114">
        <v>513</v>
      </c>
      <c r="AB118" s="119">
        <v>0.08</v>
      </c>
      <c r="AC118" s="8" t="s">
        <v>199</v>
      </c>
      <c r="AD118" s="57"/>
    </row>
    <row r="119" spans="1:30" ht="15.75">
      <c r="A119" s="100" t="s">
        <v>366</v>
      </c>
      <c r="J119" s="65" t="s">
        <v>96</v>
      </c>
      <c r="K119" s="13">
        <f>ROUND(K111/PAYFACT,2)</f>
        <v>329.67</v>
      </c>
      <c r="L119" s="17"/>
      <c r="M119" s="64"/>
      <c r="Z119" s="188" t="s">
        <v>475</v>
      </c>
      <c r="AA119" s="115">
        <v>317</v>
      </c>
      <c r="AB119" s="119">
        <v>0.1</v>
      </c>
      <c r="AC119" s="57" t="s">
        <v>198</v>
      </c>
      <c r="AD119" s="57"/>
    </row>
    <row r="120" spans="1:30" ht="15.75">
      <c r="A120" s="1"/>
      <c r="J120" s="65" t="s">
        <v>97</v>
      </c>
      <c r="K120" s="13">
        <f>ROUND(K112/PAYFACT,2)</f>
        <v>329.67</v>
      </c>
      <c r="L120" s="17"/>
      <c r="M120" s="64"/>
      <c r="T120" s="17"/>
      <c r="Z120" s="9" t="s">
        <v>448</v>
      </c>
      <c r="AA120" s="114">
        <v>513</v>
      </c>
      <c r="AB120" s="119">
        <v>0.08</v>
      </c>
      <c r="AC120" s="8" t="s">
        <v>199</v>
      </c>
      <c r="AD120" s="57"/>
    </row>
    <row r="121" spans="1:30" ht="15.75">
      <c r="A121" s="100" t="s">
        <v>347</v>
      </c>
      <c r="J121" s="14"/>
      <c r="T121" s="17"/>
      <c r="Z121" s="9" t="s">
        <v>460</v>
      </c>
      <c r="AA121" s="114">
        <v>317</v>
      </c>
      <c r="AB121" s="119">
        <v>0.09</v>
      </c>
      <c r="AC121" s="8" t="s">
        <v>198</v>
      </c>
      <c r="AD121" s="57"/>
    </row>
    <row r="122" spans="1:30" ht="15.75">
      <c r="A122" s="1"/>
      <c r="J122" s="65" t="s">
        <v>98</v>
      </c>
      <c r="M122" s="64"/>
      <c r="T122" s="17"/>
      <c r="Z122" s="9" t="s">
        <v>461</v>
      </c>
      <c r="AA122" s="114">
        <v>317</v>
      </c>
      <c r="AB122" s="119">
        <v>0.09</v>
      </c>
      <c r="AC122" s="8" t="s">
        <v>150</v>
      </c>
      <c r="AD122" s="57"/>
    </row>
    <row r="123" spans="1:29" ht="15.75">
      <c r="A123" s="1" t="s">
        <v>367</v>
      </c>
      <c r="J123" s="65" t="s">
        <v>99</v>
      </c>
      <c r="K123" s="13">
        <f>IF(STM="S",LIES1,IF(AND(STM="M",STE&lt;2),LIEM1,IF(AND(STM="M",STE&gt;=2),LIEM2,IF(STM="H",LIEH1,99999))))</f>
        <v>14573</v>
      </c>
      <c r="L123" s="17"/>
      <c r="M123" s="64"/>
      <c r="T123" s="17"/>
      <c r="Z123" s="9" t="s">
        <v>567</v>
      </c>
      <c r="AA123" s="114">
        <v>317</v>
      </c>
      <c r="AB123" s="119">
        <v>0.06</v>
      </c>
      <c r="AC123" s="8" t="s">
        <v>198</v>
      </c>
    </row>
    <row r="124" spans="1:29" ht="15.75">
      <c r="A124" s="1"/>
      <c r="J124" s="65" t="s">
        <v>397</v>
      </c>
      <c r="K124" s="13">
        <f>(STA*SADDALL1)</f>
        <v>0</v>
      </c>
      <c r="L124" s="17"/>
      <c r="M124" s="64"/>
      <c r="T124" s="17"/>
      <c r="Z124" s="9" t="s">
        <v>446</v>
      </c>
      <c r="AA124" s="114">
        <v>317</v>
      </c>
      <c r="AB124" s="119">
        <v>0.09</v>
      </c>
      <c r="AC124" s="8" t="s">
        <v>150</v>
      </c>
    </row>
    <row r="125" spans="1:30" ht="15.75">
      <c r="A125" s="1" t="s">
        <v>330</v>
      </c>
      <c r="J125" s="65" t="s">
        <v>398</v>
      </c>
      <c r="K125" s="13">
        <f>IF(STM="S",SDS1,IF(AND(STM="M",STE&lt;2),SDM1,IF(AND(STM="M",STE&gt;=2),SDM2,IF(STM="H",SDH1,0))))</f>
        <v>4401</v>
      </c>
      <c r="L125" s="17"/>
      <c r="M125" s="64"/>
      <c r="T125" s="17"/>
      <c r="Z125" s="188" t="s">
        <v>476</v>
      </c>
      <c r="AA125" s="115">
        <v>513</v>
      </c>
      <c r="AB125" s="119">
        <v>0.09</v>
      </c>
      <c r="AC125" s="57" t="s">
        <v>199</v>
      </c>
      <c r="AD125" s="57"/>
    </row>
    <row r="126" spans="1:29" ht="15.75">
      <c r="A126" s="1"/>
      <c r="J126" s="65" t="s">
        <v>100</v>
      </c>
      <c r="K126" s="13">
        <f>IF(AND(B14="S",D14=0),AK60,IF(AND(B14="S",D14=1),AL60,IF(AND(B14="S",D14&gt;=2),AM60,IF(AND(B14="M",D14=0),AK61,IF(OR(AND(B14="M",B14="H"),D14=1),AL61,IF(OR(AND(B14="M",B14="H"),D14&gt;=2),AM61,0))))))</f>
        <v>0</v>
      </c>
      <c r="L126" s="17"/>
      <c r="M126" s="64"/>
      <c r="T126" s="17"/>
      <c r="Z126" s="188" t="s">
        <v>477</v>
      </c>
      <c r="AA126" s="115">
        <v>513</v>
      </c>
      <c r="AB126" s="119">
        <v>0.08</v>
      </c>
      <c r="AC126" s="57" t="s">
        <v>199</v>
      </c>
    </row>
    <row r="127" spans="1:30" ht="15.75">
      <c r="A127" s="1" t="s">
        <v>351</v>
      </c>
      <c r="J127" s="65" t="s">
        <v>399</v>
      </c>
      <c r="K127" s="13">
        <f>IF(STE&lt;3,0,STE-2)</f>
        <v>0</v>
      </c>
      <c r="L127" s="17"/>
      <c r="M127" s="64"/>
      <c r="Z127" s="188" t="s">
        <v>463</v>
      </c>
      <c r="AA127" s="115">
        <v>513</v>
      </c>
      <c r="AB127" s="119">
        <v>0.08</v>
      </c>
      <c r="AC127" s="57" t="s">
        <v>199</v>
      </c>
      <c r="AD127" s="8" t="s">
        <v>4</v>
      </c>
    </row>
    <row r="128" spans="10:30" ht="12.75">
      <c r="J128" s="65" t="s">
        <v>101</v>
      </c>
      <c r="K128" s="13">
        <f>IF(STM="S",TCRS3,TCRM3)</f>
        <v>129.8</v>
      </c>
      <c r="L128" s="17"/>
      <c r="M128" s="64"/>
      <c r="T128" s="17"/>
      <c r="Z128" s="188" t="s">
        <v>568</v>
      </c>
      <c r="AA128" s="115">
        <v>513</v>
      </c>
      <c r="AB128" s="119">
        <v>0.05</v>
      </c>
      <c r="AC128" s="57" t="s">
        <v>199</v>
      </c>
      <c r="AD128" s="8" t="s">
        <v>4</v>
      </c>
    </row>
    <row r="129" spans="10:30" ht="12.75">
      <c r="J129" s="65" t="s">
        <v>102</v>
      </c>
      <c r="K129" s="13">
        <f>(TXCRB+(TXCROV*TXCRR))</f>
        <v>0</v>
      </c>
      <c r="L129" s="17"/>
      <c r="M129" s="64"/>
      <c r="T129" s="17"/>
      <c r="Z129" s="9" t="s">
        <v>201</v>
      </c>
      <c r="AA129" s="114">
        <v>863</v>
      </c>
      <c r="AB129" s="119">
        <v>0.13</v>
      </c>
      <c r="AC129" s="8" t="s">
        <v>198</v>
      </c>
      <c r="AD129" s="8" t="s">
        <v>4</v>
      </c>
    </row>
    <row r="130" spans="10:30" ht="12.75">
      <c r="J130" s="65"/>
      <c r="L130" s="17"/>
      <c r="M130" s="64"/>
      <c r="T130" s="17"/>
      <c r="Z130" s="9" t="s">
        <v>202</v>
      </c>
      <c r="AA130" s="114">
        <v>863</v>
      </c>
      <c r="AB130" s="119">
        <v>0.13</v>
      </c>
      <c r="AC130" s="8" t="s">
        <v>150</v>
      </c>
      <c r="AD130" s="8" t="s">
        <v>4</v>
      </c>
    </row>
    <row r="131" spans="10:30" ht="12.75">
      <c r="J131" s="65" t="s">
        <v>103</v>
      </c>
      <c r="M131" s="64"/>
      <c r="T131" s="17"/>
      <c r="Z131" s="9" t="s">
        <v>203</v>
      </c>
      <c r="AA131" s="114">
        <v>863</v>
      </c>
      <c r="AB131" s="119">
        <v>0.13</v>
      </c>
      <c r="AC131" s="8" t="s">
        <v>198</v>
      </c>
      <c r="AD131" s="8" t="s">
        <v>4</v>
      </c>
    </row>
    <row r="132" spans="10:30" ht="12.75"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s="9" t="s">
        <v>204</v>
      </c>
      <c r="AA132" s="114">
        <v>863</v>
      </c>
      <c r="AB132" s="119">
        <v>0.13</v>
      </c>
      <c r="AC132" s="8" t="s">
        <v>150</v>
      </c>
      <c r="AD132" s="8" t="s">
        <v>4</v>
      </c>
    </row>
    <row r="133" spans="10:30" ht="12.75"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s="9" t="s">
        <v>428</v>
      </c>
      <c r="AA133" s="114">
        <v>863</v>
      </c>
      <c r="AB133" s="119">
        <v>0.13</v>
      </c>
      <c r="AC133" s="8" t="s">
        <v>198</v>
      </c>
      <c r="AD133" s="8" t="s">
        <v>4</v>
      </c>
    </row>
    <row r="134" spans="10:30" ht="12.75">
      <c r="J134" s="65" t="s">
        <v>106</v>
      </c>
      <c r="K134" s="13">
        <f>IF((PAYFACT*TG3)-ADDALLOW1-SDED1&lt;=0,0,(PAYFACT*TG3)-ADDALLOW1-SDED1)</f>
        <v>0</v>
      </c>
      <c r="L134" s="17"/>
      <c r="M134" s="64"/>
      <c r="Z134" s="9" t="s">
        <v>429</v>
      </c>
      <c r="AA134" s="114">
        <v>863</v>
      </c>
      <c r="AB134" s="119">
        <v>0.13</v>
      </c>
      <c r="AC134" s="8" t="s">
        <v>150</v>
      </c>
      <c r="AD134" s="8" t="s">
        <v>4</v>
      </c>
    </row>
    <row r="135" spans="10:30" ht="12.75">
      <c r="J135" s="65" t="s">
        <v>107</v>
      </c>
      <c r="K135" s="13">
        <f>IF((PAYFACT*TG4)-ADDALLOW1-SDED1&lt;=0,0,(PAYFACT*TG4)-ADDALLOW1-SDED1)</f>
        <v>43599</v>
      </c>
      <c r="L135" s="17"/>
      <c r="M135" s="64"/>
      <c r="Z135" s="9" t="s">
        <v>510</v>
      </c>
      <c r="AA135" s="114">
        <v>0</v>
      </c>
      <c r="AB135" s="119">
        <v>0.11</v>
      </c>
      <c r="AC135" s="8" t="s">
        <v>198</v>
      </c>
      <c r="AD135" s="117"/>
    </row>
    <row r="136" spans="10:30" ht="12.75">
      <c r="J136" s="65" t="s">
        <v>108</v>
      </c>
      <c r="K136" s="13">
        <f>IF((PAYFACT*TG5)-ADDALLOW1-SDED1&lt;=0,0,(PAYFACT*TG5)-ADDALLOW1-SDED1)</f>
        <v>43599</v>
      </c>
      <c r="L136" s="17"/>
      <c r="M136" s="64"/>
      <c r="T136" s="17"/>
      <c r="Z136" s="9" t="s">
        <v>511</v>
      </c>
      <c r="AA136" s="114">
        <v>0</v>
      </c>
      <c r="AB136" s="119">
        <v>0.11</v>
      </c>
      <c r="AC136" s="8" t="s">
        <v>150</v>
      </c>
      <c r="AD136" s="117"/>
    </row>
    <row r="137" spans="10:29" ht="12.75">
      <c r="J137" s="65" t="s">
        <v>109</v>
      </c>
      <c r="K137" s="13">
        <f>IF((PAYFACT*TG6)-ADDALLOW1-SDED1&lt;=0,0,(PAYFACT*TG6)-ADDALLOW1-SDED1)</f>
        <v>43599</v>
      </c>
      <c r="L137" s="17"/>
      <c r="M137" s="64"/>
      <c r="T137" s="17"/>
      <c r="Z137" s="9" t="s">
        <v>569</v>
      </c>
      <c r="AA137" s="114">
        <v>513</v>
      </c>
      <c r="AB137" s="119">
        <v>0.08</v>
      </c>
      <c r="AC137" s="8" t="s">
        <v>198</v>
      </c>
    </row>
    <row r="138" spans="10:29" ht="12.75">
      <c r="J138" s="14"/>
      <c r="T138" s="17"/>
      <c r="Z138" s="9" t="s">
        <v>570</v>
      </c>
      <c r="AA138" s="114">
        <v>513</v>
      </c>
      <c r="AB138" s="119">
        <v>0.08</v>
      </c>
      <c r="AC138" s="8" t="s">
        <v>150</v>
      </c>
    </row>
    <row r="139" spans="10:29" ht="12.75">
      <c r="J139" s="65" t="s">
        <v>110</v>
      </c>
      <c r="M139" s="64"/>
      <c r="T139" s="17"/>
      <c r="Z139" s="188" t="s">
        <v>484</v>
      </c>
      <c r="AA139" s="115">
        <v>863</v>
      </c>
      <c r="AB139" s="119">
        <v>0.11</v>
      </c>
      <c r="AC139" s="57" t="s">
        <v>198</v>
      </c>
    </row>
    <row r="140" spans="10:29" ht="12.75"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s="188" t="s">
        <v>485</v>
      </c>
      <c r="AA140" s="115">
        <v>863</v>
      </c>
      <c r="AB140" s="119">
        <v>0.13</v>
      </c>
      <c r="AC140" s="57" t="s">
        <v>150</v>
      </c>
    </row>
    <row r="141" spans="10:29" ht="12.75"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s="188" t="s">
        <v>518</v>
      </c>
      <c r="AA141" s="115">
        <v>238</v>
      </c>
      <c r="AB141" s="119">
        <v>0.08</v>
      </c>
      <c r="AC141" s="57" t="s">
        <v>198</v>
      </c>
    </row>
    <row r="142" spans="10:30" ht="12.75">
      <c r="J142" s="65" t="s">
        <v>390</v>
      </c>
      <c r="K142" s="13">
        <f>IF(STM="S",VLOOKUP(K134,STXTBLS1,1),IF(STM="M",VLOOKUP(K134,STXTBLM1,1),IF(STM="H",VLOOKUP(K134,STXTBLH1,1),0)))</f>
        <v>0</v>
      </c>
      <c r="L142" s="17"/>
      <c r="M142" s="64"/>
      <c r="Z142" s="188" t="s">
        <v>519</v>
      </c>
      <c r="AA142" s="115">
        <v>238</v>
      </c>
      <c r="AB142" s="119">
        <v>0.08</v>
      </c>
      <c r="AC142" s="57" t="s">
        <v>150</v>
      </c>
      <c r="AD142" s="117"/>
    </row>
    <row r="143" spans="10:30" ht="12.75">
      <c r="J143" s="65" t="s">
        <v>391</v>
      </c>
      <c r="K143" s="13">
        <f>IF(STM="S",VLOOKUP(K135,STXTBLS1,1),IF(STM="M",VLOOKUP(K135,STXTBLM1,1),IF(STM="H",VLOOKUP(K135,STXTBLH1,1),0)))</f>
        <v>40510</v>
      </c>
      <c r="L143" s="17"/>
      <c r="M143" s="64"/>
      <c r="Z143" s="188" t="s">
        <v>571</v>
      </c>
      <c r="AA143" s="115">
        <v>238</v>
      </c>
      <c r="AB143" s="119">
        <v>0.08</v>
      </c>
      <c r="AC143" s="57" t="s">
        <v>198</v>
      </c>
      <c r="AD143" s="8" t="s">
        <v>4</v>
      </c>
    </row>
    <row r="144" spans="10:30" ht="12.75">
      <c r="J144" s="65" t="s">
        <v>392</v>
      </c>
      <c r="K144" s="13">
        <f>IF(STM="S",VLOOKUP(K136,STXTBLS1,1),IF(STM="M",VLOOKUP(K136,STXTBLM1,1),IF(STM="H",VLOOKUP(K136,STXTBLH1,1),0)))</f>
        <v>40510</v>
      </c>
      <c r="L144" s="17"/>
      <c r="M144" s="64"/>
      <c r="T144" s="17"/>
      <c r="Z144" s="188" t="s">
        <v>572</v>
      </c>
      <c r="AA144" s="115">
        <v>238</v>
      </c>
      <c r="AB144" s="119">
        <v>0.08</v>
      </c>
      <c r="AC144" s="57" t="s">
        <v>150</v>
      </c>
      <c r="AD144" s="8" t="s">
        <v>4</v>
      </c>
    </row>
    <row r="145" spans="10:30" ht="12.75">
      <c r="J145" s="65" t="s">
        <v>393</v>
      </c>
      <c r="K145" s="13">
        <f>IF(STM="S",VLOOKUP(K137,STXTBLS1,1),IF(STM="M",VLOOKUP(K137,STXTBLM1,1),IF(STM="H",VLOOKUP(K137,STXTBLH1,1),0)))</f>
        <v>40510</v>
      </c>
      <c r="L145" s="17"/>
      <c r="M145" s="64"/>
      <c r="T145" s="17"/>
      <c r="Z145" s="188" t="s">
        <v>497</v>
      </c>
      <c r="AA145" s="115">
        <v>863</v>
      </c>
      <c r="AB145" s="119">
        <v>0.125</v>
      </c>
      <c r="AC145" s="57" t="s">
        <v>198</v>
      </c>
      <c r="AD145" s="8" t="s">
        <v>4</v>
      </c>
    </row>
    <row r="146" spans="10:30" ht="12.75">
      <c r="J146" s="14"/>
      <c r="T146" s="17"/>
      <c r="Z146" s="188" t="s">
        <v>498</v>
      </c>
      <c r="AA146" s="115">
        <v>863</v>
      </c>
      <c r="AB146" s="119">
        <v>0.13</v>
      </c>
      <c r="AC146" s="57" t="s">
        <v>150</v>
      </c>
      <c r="AD146" s="8" t="s">
        <v>4</v>
      </c>
    </row>
    <row r="147" spans="10:29" ht="12.75">
      <c r="J147" s="65" t="s">
        <v>113</v>
      </c>
      <c r="M147" s="64"/>
      <c r="T147" s="17"/>
      <c r="Z147" s="188" t="s">
        <v>499</v>
      </c>
      <c r="AA147" s="115">
        <v>863</v>
      </c>
      <c r="AB147" s="119">
        <v>0.125</v>
      </c>
      <c r="AC147" s="57" t="s">
        <v>198</v>
      </c>
    </row>
    <row r="148" spans="10:30" ht="12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s="188" t="s">
        <v>500</v>
      </c>
      <c r="AA148" s="115">
        <v>863</v>
      </c>
      <c r="AB148" s="119">
        <v>0.125</v>
      </c>
      <c r="AC148" s="57" t="s">
        <v>150</v>
      </c>
      <c r="AD148" s="8" t="s">
        <v>4</v>
      </c>
    </row>
    <row r="149" spans="10:30" ht="12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s="9" t="s">
        <v>512</v>
      </c>
      <c r="AA149" s="114">
        <v>0</v>
      </c>
      <c r="AB149" s="119">
        <v>0.11</v>
      </c>
      <c r="AC149" s="8" t="s">
        <v>198</v>
      </c>
      <c r="AD149" s="8" t="s">
        <v>4</v>
      </c>
    </row>
    <row r="150" spans="10:30" ht="12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s="188" t="s">
        <v>486</v>
      </c>
      <c r="AA150" s="115">
        <v>513</v>
      </c>
      <c r="AB150" s="119">
        <v>0.1</v>
      </c>
      <c r="AC150" s="57" t="s">
        <v>198</v>
      </c>
      <c r="AD150" s="8" t="s">
        <v>4</v>
      </c>
    </row>
    <row r="151" spans="10:30" ht="12.75">
      <c r="J151" s="65" t="s">
        <v>117</v>
      </c>
      <c r="K151" s="36">
        <f>IF(STM="S",VLOOKUP(K135,STXTBLS1,2),IF(STM="M",VLOOKUP(K135,STXTBLM1,2),IF(STM="H",VLOOKUP(K135,STXTBLH1,2),0)))</f>
        <v>0.044</v>
      </c>
      <c r="L151" s="17"/>
      <c r="M151" s="64"/>
      <c r="N151" s="98"/>
      <c r="Z151" s="188" t="s">
        <v>487</v>
      </c>
      <c r="AA151" s="115">
        <v>513</v>
      </c>
      <c r="AB151" s="119">
        <v>0.13</v>
      </c>
      <c r="AC151" s="57" t="s">
        <v>150</v>
      </c>
      <c r="AD151" s="8" t="s">
        <v>4</v>
      </c>
    </row>
    <row r="152" spans="10:30" ht="12.75">
      <c r="J152" s="65" t="s">
        <v>118</v>
      </c>
      <c r="K152" s="36">
        <f>IF(STM="S",VLOOKUP(K136,STXTBLS1,2),IF(STM="M",VLOOKUP(K136,STXTBLM1,2),IF(STM="H",VLOOKUP(K136,STXTBLH1,2),0)))</f>
        <v>0.044</v>
      </c>
      <c r="L152" s="17"/>
      <c r="M152" s="64"/>
      <c r="N152" s="98"/>
      <c r="T152" s="17"/>
      <c r="Z152" s="9" t="s">
        <v>513</v>
      </c>
      <c r="AA152" s="114">
        <v>0</v>
      </c>
      <c r="AB152" s="119">
        <v>0.11</v>
      </c>
      <c r="AC152" s="8" t="s">
        <v>150</v>
      </c>
      <c r="AD152" s="8" t="s">
        <v>4</v>
      </c>
    </row>
    <row r="153" spans="10:30" ht="12.75">
      <c r="J153" s="65" t="s">
        <v>119</v>
      </c>
      <c r="K153" s="36">
        <f>IF(STM="S",VLOOKUP(K137,STXTBLS1,2),IF(STM="M",VLOOKUP(K137,STXTBLM1,2),IF(STM="H",VLOOKUP(K137,STXTBLH1,2),0)))</f>
        <v>0.044</v>
      </c>
      <c r="L153" s="17"/>
      <c r="M153" s="64"/>
      <c r="N153" s="98"/>
      <c r="T153" s="17"/>
      <c r="Z153" s="9" t="s">
        <v>205</v>
      </c>
      <c r="AA153" s="114">
        <v>513</v>
      </c>
      <c r="AB153" s="119">
        <v>0.08</v>
      </c>
      <c r="AC153" s="8" t="s">
        <v>199</v>
      </c>
      <c r="AD153" s="8" t="s">
        <v>4</v>
      </c>
    </row>
    <row r="154" spans="10:30" ht="12.75">
      <c r="J154" s="14"/>
      <c r="T154" s="17"/>
      <c r="Z154" s="9" t="s">
        <v>206</v>
      </c>
      <c r="AA154" s="114">
        <v>513</v>
      </c>
      <c r="AB154" s="119">
        <v>0.08</v>
      </c>
      <c r="AC154" s="8" t="s">
        <v>199</v>
      </c>
      <c r="AD154" s="8" t="s">
        <v>4</v>
      </c>
    </row>
    <row r="155" spans="10:30" ht="12.75">
      <c r="J155" s="65" t="s">
        <v>120</v>
      </c>
      <c r="M155" s="64"/>
      <c r="T155" s="17"/>
      <c r="Z155" s="9" t="s">
        <v>207</v>
      </c>
      <c r="AA155" s="114">
        <v>317</v>
      </c>
      <c r="AB155" s="119">
        <v>0.06</v>
      </c>
      <c r="AC155" s="8" t="s">
        <v>198</v>
      </c>
      <c r="AD155" s="8" t="s">
        <v>4</v>
      </c>
    </row>
    <row r="156" spans="10:30" ht="12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s="9" t="s">
        <v>208</v>
      </c>
      <c r="AA156" s="114">
        <v>0</v>
      </c>
      <c r="AB156" s="119">
        <v>0.0375</v>
      </c>
      <c r="AC156" s="8" t="s">
        <v>199</v>
      </c>
      <c r="AD156" s="8" t="s">
        <v>4</v>
      </c>
    </row>
    <row r="157" spans="10:30" ht="12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s="9" t="s">
        <v>209</v>
      </c>
      <c r="AA157" s="114">
        <v>0</v>
      </c>
      <c r="AB157" s="119">
        <v>0.0375</v>
      </c>
      <c r="AC157" s="8" t="s">
        <v>199</v>
      </c>
      <c r="AD157" s="8" t="s">
        <v>4</v>
      </c>
    </row>
    <row r="158" spans="10:30" ht="12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s="9" t="s">
        <v>210</v>
      </c>
      <c r="AA158" s="114">
        <v>0</v>
      </c>
      <c r="AB158" s="119">
        <v>0.0375</v>
      </c>
      <c r="AC158" s="8" t="s">
        <v>199</v>
      </c>
      <c r="AD158" s="8" t="s">
        <v>4</v>
      </c>
    </row>
    <row r="159" spans="10:30" ht="12.75">
      <c r="J159" s="65" t="s">
        <v>124</v>
      </c>
      <c r="K159" s="13">
        <f>IF(STM="S",VLOOKUP(K135,STXTBLS1,3),IF(STM="M",VLOOKUP(K135,STXTBLM1,3),IF(STM="H",VLOOKUP(K135,STXTBLH1,3),0)))</f>
        <v>703.25</v>
      </c>
      <c r="L159" s="17"/>
      <c r="M159" s="64"/>
      <c r="Z159" s="9" t="s">
        <v>211</v>
      </c>
      <c r="AA159" s="114">
        <v>513</v>
      </c>
      <c r="AB159" s="119">
        <v>0.09</v>
      </c>
      <c r="AC159" s="8" t="s">
        <v>199</v>
      </c>
      <c r="AD159" s="57"/>
    </row>
    <row r="160" spans="10:30" ht="12.75">
      <c r="J160" s="65" t="s">
        <v>125</v>
      </c>
      <c r="K160" s="13">
        <f>IF(STM="S",VLOOKUP(K136,STXTBLS1,3),IF(STM="M",VLOOKUP(K136,STXTBLM1,3),IF(STM="H",VLOOKUP(K136,STXTBLH1,3),0)))</f>
        <v>703.25</v>
      </c>
      <c r="L160" s="17"/>
      <c r="M160" s="64"/>
      <c r="T160" s="17"/>
      <c r="Z160" s="9" t="s">
        <v>212</v>
      </c>
      <c r="AA160" s="114">
        <v>513</v>
      </c>
      <c r="AB160" s="119">
        <v>0.09</v>
      </c>
      <c r="AC160" s="8" t="s">
        <v>199</v>
      </c>
      <c r="AD160" s="57"/>
    </row>
    <row r="161" spans="10:30" ht="12.75">
      <c r="J161" s="65" t="s">
        <v>126</v>
      </c>
      <c r="K161" s="13">
        <f>IF(STM="S",VLOOKUP(K137,STXTBLS1,3),IF(STM="M",VLOOKUP(K137,STXTBLM1,3),IF(STM="H",VLOOKUP(K137,STXTBLH1,3),0)))</f>
        <v>703.25</v>
      </c>
      <c r="L161" s="17"/>
      <c r="M161" s="64"/>
      <c r="T161" s="17"/>
      <c r="Z161" s="9" t="s">
        <v>213</v>
      </c>
      <c r="AA161" s="114">
        <v>513</v>
      </c>
      <c r="AB161" s="119">
        <v>0.03</v>
      </c>
      <c r="AC161" s="8" t="s">
        <v>199</v>
      </c>
      <c r="AD161" s="57"/>
    </row>
    <row r="162" spans="10:30" ht="12.75">
      <c r="J162" s="14"/>
      <c r="T162" s="17"/>
      <c r="Z162" s="9" t="s">
        <v>214</v>
      </c>
      <c r="AA162" s="114">
        <v>317</v>
      </c>
      <c r="AB162" s="119">
        <v>0.07</v>
      </c>
      <c r="AC162" s="8" t="s">
        <v>198</v>
      </c>
      <c r="AD162" s="57"/>
    </row>
    <row r="163" spans="10:30" ht="12.75">
      <c r="J163" s="65" t="s">
        <v>127</v>
      </c>
      <c r="M163" s="64"/>
      <c r="T163" s="17"/>
      <c r="Z163" s="9" t="s">
        <v>215</v>
      </c>
      <c r="AA163" s="114">
        <v>513</v>
      </c>
      <c r="AB163" s="119">
        <v>0.08</v>
      </c>
      <c r="AC163" s="8" t="s">
        <v>199</v>
      </c>
      <c r="AD163" s="8" t="s">
        <v>4</v>
      </c>
    </row>
    <row r="164" spans="10:30" ht="12.75">
      <c r="J164" s="65" t="s">
        <v>128</v>
      </c>
      <c r="K164" s="13">
        <f>ROUND(STG1-SBSA1,2)</f>
        <v>0</v>
      </c>
      <c r="L164" s="17"/>
      <c r="M164" s="64"/>
      <c r="T164" s="17"/>
      <c r="Z164" s="9" t="s">
        <v>430</v>
      </c>
      <c r="AA164" s="114">
        <v>317</v>
      </c>
      <c r="AB164" s="119">
        <v>0.11</v>
      </c>
      <c r="AC164" s="8" t="s">
        <v>198</v>
      </c>
      <c r="AD164" s="8" t="s">
        <v>4</v>
      </c>
    </row>
    <row r="165" spans="10:30" ht="12.75">
      <c r="J165" s="65" t="s">
        <v>129</v>
      </c>
      <c r="K165" s="13">
        <f>ROUND(K133-K141,2)</f>
        <v>0</v>
      </c>
      <c r="L165" s="17"/>
      <c r="M165" s="64"/>
      <c r="T165" s="17"/>
      <c r="Z165" s="9" t="s">
        <v>431</v>
      </c>
      <c r="AA165" s="114">
        <v>317</v>
      </c>
      <c r="AB165" s="119">
        <v>0.11</v>
      </c>
      <c r="AC165" s="8" t="s">
        <v>150</v>
      </c>
      <c r="AD165" s="8" t="s">
        <v>4</v>
      </c>
    </row>
    <row r="166" spans="10:30" ht="12.75">
      <c r="J166" s="65" t="s">
        <v>130</v>
      </c>
      <c r="K166" s="13">
        <f>ROUND(K134-K142,2)</f>
        <v>0</v>
      </c>
      <c r="L166" s="17"/>
      <c r="M166" s="64"/>
      <c r="Z166" s="9" t="s">
        <v>216</v>
      </c>
      <c r="AA166" s="114">
        <v>513</v>
      </c>
      <c r="AB166" s="119">
        <v>0.08</v>
      </c>
      <c r="AC166" s="8" t="s">
        <v>199</v>
      </c>
      <c r="AD166" s="8" t="s">
        <v>4</v>
      </c>
    </row>
    <row r="167" spans="10:30" ht="12.75">
      <c r="J167" s="65" t="s">
        <v>394</v>
      </c>
      <c r="K167" s="13">
        <f>ROUND(K135-K143,2)</f>
        <v>3089</v>
      </c>
      <c r="L167" s="17"/>
      <c r="M167" s="64"/>
      <c r="Z167" s="94" t="s">
        <v>563</v>
      </c>
      <c r="AA167" s="190">
        <v>513</v>
      </c>
      <c r="AB167" s="191">
        <v>0.0725</v>
      </c>
      <c r="AC167" s="143" t="s">
        <v>199</v>
      </c>
      <c r="AD167" s="8" t="s">
        <v>4</v>
      </c>
    </row>
    <row r="168" spans="10:30" ht="12.75">
      <c r="J168" s="65" t="s">
        <v>395</v>
      </c>
      <c r="K168" s="13">
        <f>ROUND(K136-K144,2)</f>
        <v>3089</v>
      </c>
      <c r="L168" s="17"/>
      <c r="M168" s="64"/>
      <c r="T168" s="17"/>
      <c r="Z168" s="9" t="s">
        <v>217</v>
      </c>
      <c r="AA168" s="114">
        <v>0</v>
      </c>
      <c r="AB168" s="119">
        <v>0.0375</v>
      </c>
      <c r="AC168" s="8" t="s">
        <v>199</v>
      </c>
      <c r="AD168" s="8" t="s">
        <v>4</v>
      </c>
    </row>
    <row r="169" spans="10:30" ht="12.75">
      <c r="J169" s="65" t="s">
        <v>396</v>
      </c>
      <c r="K169" s="13">
        <f>ROUND(K137-K145,2)</f>
        <v>3089</v>
      </c>
      <c r="L169" s="17"/>
      <c r="M169" s="64"/>
      <c r="T169" s="17"/>
      <c r="Z169" s="9" t="s">
        <v>218</v>
      </c>
      <c r="AA169" s="114">
        <v>0</v>
      </c>
      <c r="AB169" s="119">
        <v>0.0375</v>
      </c>
      <c r="AC169" s="8" t="s">
        <v>199</v>
      </c>
      <c r="AD169" s="8" t="s">
        <v>4</v>
      </c>
    </row>
    <row r="170" spans="10:30" ht="12.75">
      <c r="J170" s="14"/>
      <c r="T170" s="17"/>
      <c r="Z170" s="9" t="s">
        <v>219</v>
      </c>
      <c r="AA170" s="114">
        <v>513</v>
      </c>
      <c r="AB170" s="119">
        <v>0.1</v>
      </c>
      <c r="AC170" s="8" t="s">
        <v>199</v>
      </c>
      <c r="AD170" s="8" t="s">
        <v>4</v>
      </c>
    </row>
    <row r="171" spans="10:30" ht="12.75">
      <c r="J171" s="65" t="s">
        <v>131</v>
      </c>
      <c r="M171" s="64"/>
      <c r="T171" s="17"/>
      <c r="Z171" s="9" t="s">
        <v>514</v>
      </c>
      <c r="AA171" s="114">
        <v>0</v>
      </c>
      <c r="AB171" s="119">
        <v>0.0725</v>
      </c>
      <c r="AC171" s="8" t="s">
        <v>198</v>
      </c>
      <c r="AD171" s="57"/>
    </row>
    <row r="172" spans="10:30" ht="12.75">
      <c r="J172" s="65" t="s">
        <v>132</v>
      </c>
      <c r="K172" s="36">
        <f>(SBST1+ROUND(SOVR1*SMTR1,5))</f>
        <v>0</v>
      </c>
      <c r="L172" s="17"/>
      <c r="M172" s="64"/>
      <c r="T172" s="17"/>
      <c r="Z172" s="9" t="s">
        <v>462</v>
      </c>
      <c r="AA172" s="114">
        <v>513</v>
      </c>
      <c r="AB172" s="119">
        <v>0.08</v>
      </c>
      <c r="AC172" s="8" t="s">
        <v>199</v>
      </c>
      <c r="AD172" s="57"/>
    </row>
    <row r="173" spans="10:30" ht="12.75">
      <c r="J173" s="65" t="s">
        <v>133</v>
      </c>
      <c r="K173" s="36">
        <f>(K157+ROUND(K165*SMTR2,5))</f>
        <v>0</v>
      </c>
      <c r="L173" s="17"/>
      <c r="M173" s="64"/>
      <c r="T173" s="17"/>
      <c r="Z173" s="9" t="s">
        <v>432</v>
      </c>
      <c r="AA173" s="114">
        <v>513</v>
      </c>
      <c r="AB173" s="119">
        <v>0.1</v>
      </c>
      <c r="AC173" s="8" t="s">
        <v>199</v>
      </c>
      <c r="AD173" s="57"/>
    </row>
    <row r="174" spans="10:30" ht="12.75">
      <c r="J174" s="65" t="s">
        <v>134</v>
      </c>
      <c r="K174" s="36">
        <f>(K158+ROUND(K166*SMTR3,5))</f>
        <v>0</v>
      </c>
      <c r="L174" s="17"/>
      <c r="M174" s="64"/>
      <c r="Z174" s="9" t="s">
        <v>220</v>
      </c>
      <c r="AA174" s="114">
        <v>513</v>
      </c>
      <c r="AB174" s="119">
        <v>0.05</v>
      </c>
      <c r="AC174" s="8" t="s">
        <v>199</v>
      </c>
      <c r="AD174" s="57"/>
    </row>
    <row r="175" spans="10:29" ht="12.75">
      <c r="J175" s="65" t="s">
        <v>135</v>
      </c>
      <c r="K175" s="36">
        <f>(K159+ROUND(K167*SMTR4,5))</f>
        <v>839.1659999999999</v>
      </c>
      <c r="L175" s="17"/>
      <c r="M175" s="64"/>
      <c r="Z175" s="9" t="s">
        <v>221</v>
      </c>
      <c r="AA175" s="114">
        <v>0</v>
      </c>
      <c r="AB175" s="119">
        <v>0.0375</v>
      </c>
      <c r="AC175" s="8" t="s">
        <v>199</v>
      </c>
    </row>
    <row r="176" spans="10:29" ht="12.75">
      <c r="J176" s="65" t="s">
        <v>136</v>
      </c>
      <c r="K176" s="36">
        <f>(K160+ROUND(K168*SMTR5,5))</f>
        <v>839.1659999999999</v>
      </c>
      <c r="L176" s="17"/>
      <c r="M176" s="64"/>
      <c r="T176" s="17"/>
      <c r="Z176" s="9" t="s">
        <v>440</v>
      </c>
      <c r="AA176" s="114">
        <v>0</v>
      </c>
      <c r="AB176" s="119">
        <v>0</v>
      </c>
      <c r="AC176" s="8" t="s">
        <v>199</v>
      </c>
    </row>
    <row r="177" spans="10:29" ht="12.75">
      <c r="J177" s="65" t="s">
        <v>137</v>
      </c>
      <c r="K177" s="36">
        <f>(K161+ROUND(K169*SMTR6,5))</f>
        <v>839.1659999999999</v>
      </c>
      <c r="L177" s="17"/>
      <c r="M177" s="64"/>
      <c r="T177" s="17"/>
      <c r="Z177" s="9" t="s">
        <v>222</v>
      </c>
      <c r="AA177" s="114">
        <v>513</v>
      </c>
      <c r="AB177" s="119">
        <v>0.06</v>
      </c>
      <c r="AC177" s="8" t="s">
        <v>198</v>
      </c>
    </row>
    <row r="178" spans="10:29" ht="12.75">
      <c r="J178" s="14"/>
      <c r="T178" s="17"/>
      <c r="Z178" s="9" t="s">
        <v>223</v>
      </c>
      <c r="AA178" s="114">
        <v>863</v>
      </c>
      <c r="AB178" s="119">
        <v>0.13</v>
      </c>
      <c r="AC178" s="8" t="s">
        <v>150</v>
      </c>
    </row>
    <row r="179" spans="10:30" ht="12.75">
      <c r="J179" s="65" t="s">
        <v>138</v>
      </c>
      <c r="M179" s="64"/>
      <c r="T179" s="17"/>
      <c r="Z179" s="9" t="s">
        <v>224</v>
      </c>
      <c r="AA179" s="114">
        <v>513</v>
      </c>
      <c r="AB179" s="120">
        <v>0.13</v>
      </c>
      <c r="AC179" s="8" t="s">
        <v>198</v>
      </c>
      <c r="AD179" s="117"/>
    </row>
    <row r="180" spans="10:30" ht="12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s="9" t="s">
        <v>225</v>
      </c>
      <c r="AA180" s="114">
        <v>513</v>
      </c>
      <c r="AB180" s="119">
        <v>0.13</v>
      </c>
      <c r="AC180" s="8" t="s">
        <v>150</v>
      </c>
      <c r="AD180" s="117"/>
    </row>
    <row r="181" spans="10:30" ht="12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s="9" t="s">
        <v>226</v>
      </c>
      <c r="AA181" s="114">
        <v>513</v>
      </c>
      <c r="AB181" s="120">
        <v>0.13</v>
      </c>
      <c r="AC181" s="8" t="s">
        <v>198</v>
      </c>
      <c r="AD181" s="117"/>
    </row>
    <row r="182" spans="10:30" ht="12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s="9" t="s">
        <v>227</v>
      </c>
      <c r="AA182" s="114">
        <v>513</v>
      </c>
      <c r="AB182" s="119">
        <v>0.13</v>
      </c>
      <c r="AC182" s="8" t="s">
        <v>150</v>
      </c>
      <c r="AD182" s="117"/>
    </row>
    <row r="183" spans="10:30" ht="12.75">
      <c r="J183" s="65" t="s">
        <v>142</v>
      </c>
      <c r="K183" s="13">
        <f>IF(OR(TG4*PAYFACT&lt;=LIE,(K175-TXCREDIT)/PAYFACT&lt;=0),0,IF(K175-TXCREDIT/PAYFACT&gt;0,ROUND((K175-TXCREDIT)/PAYFACT,2)))</f>
        <v>69.93</v>
      </c>
      <c r="L183" s="17"/>
      <c r="M183" s="64"/>
      <c r="Z183" s="9" t="s">
        <v>228</v>
      </c>
      <c r="AA183" s="114">
        <v>513</v>
      </c>
      <c r="AB183" s="119">
        <v>0.13</v>
      </c>
      <c r="AC183" s="8" t="s">
        <v>198</v>
      </c>
      <c r="AD183" s="117"/>
    </row>
    <row r="184" spans="10:30" ht="12.75">
      <c r="J184" s="65" t="s">
        <v>143</v>
      </c>
      <c r="K184" s="13">
        <f>IF(OR(TG4*PAYFACT&lt;=LIE,(K176-TXCREDIT)/PAYFACT&lt;=0),0,IF(K176-TXCREDIT/PAYFACT&gt;0,ROUND((K176-TXCREDIT)/PAYFACT,2)))</f>
        <v>69.93</v>
      </c>
      <c r="L184" s="17"/>
      <c r="M184" s="64"/>
      <c r="Z184" s="9" t="s">
        <v>229</v>
      </c>
      <c r="AA184" s="114">
        <v>513</v>
      </c>
      <c r="AB184" s="119">
        <v>0.13</v>
      </c>
      <c r="AC184" s="8" t="s">
        <v>150</v>
      </c>
      <c r="AD184" s="117"/>
    </row>
    <row r="185" spans="10:30" ht="12.75">
      <c r="J185" s="65" t="s">
        <v>144</v>
      </c>
      <c r="K185" s="13">
        <f>IF(OR(TG6*PAYFACT&lt;=LIE,(K177-TXCREDIT)/PAYFACT&lt;=0),0,IF(K177-TXCREDIT/PAYFACT&gt;0,ROUND((K177-TXCREDIT)/PAYFACT,2)))</f>
        <v>69.93</v>
      </c>
      <c r="L185" s="17"/>
      <c r="M185" s="64"/>
      <c r="Z185" s="9" t="s">
        <v>230</v>
      </c>
      <c r="AA185" s="114">
        <v>863</v>
      </c>
      <c r="AB185" s="119">
        <v>0.13</v>
      </c>
      <c r="AC185" s="8" t="s">
        <v>198</v>
      </c>
      <c r="AD185" s="117"/>
    </row>
    <row r="186" spans="26:30" ht="12.75">
      <c r="Z186" s="9" t="s">
        <v>231</v>
      </c>
      <c r="AA186" s="114">
        <v>863</v>
      </c>
      <c r="AB186" s="119">
        <v>0.13</v>
      </c>
      <c r="AC186" s="8" t="s">
        <v>150</v>
      </c>
      <c r="AD186" s="117"/>
    </row>
    <row r="187" spans="26:30" ht="12.75">
      <c r="Z187" s="9" t="s">
        <v>232</v>
      </c>
      <c r="AA187" s="114">
        <v>513</v>
      </c>
      <c r="AB187" s="119">
        <v>0.06</v>
      </c>
      <c r="AC187" s="8" t="s">
        <v>198</v>
      </c>
      <c r="AD187" s="57"/>
    </row>
    <row r="188" spans="26:30" ht="12.75">
      <c r="Z188" s="9" t="s">
        <v>233</v>
      </c>
      <c r="AA188" s="114">
        <v>513</v>
      </c>
      <c r="AB188" s="119">
        <v>0.06</v>
      </c>
      <c r="AC188" s="8" t="s">
        <v>150</v>
      </c>
      <c r="AD188" s="57"/>
    </row>
    <row r="189" spans="26:30" ht="12.75">
      <c r="Z189" s="9" t="s">
        <v>573</v>
      </c>
      <c r="AA189" s="114">
        <v>513</v>
      </c>
      <c r="AB189" s="119">
        <v>0.06</v>
      </c>
      <c r="AC189" s="8" t="s">
        <v>198</v>
      </c>
      <c r="AD189" s="57"/>
    </row>
    <row r="190" spans="26:30" ht="12.75">
      <c r="Z190" s="9" t="s">
        <v>574</v>
      </c>
      <c r="AA190" s="114">
        <v>513</v>
      </c>
      <c r="AB190" s="119">
        <v>0.06</v>
      </c>
      <c r="AC190" s="8" t="s">
        <v>150</v>
      </c>
      <c r="AD190" s="117"/>
    </row>
    <row r="191" spans="26:30" ht="12.75">
      <c r="Z191" s="188" t="s">
        <v>470</v>
      </c>
      <c r="AA191" s="115">
        <v>513</v>
      </c>
      <c r="AB191" s="119">
        <v>0.13</v>
      </c>
      <c r="AC191" s="57" t="s">
        <v>150</v>
      </c>
      <c r="AD191" s="117"/>
    </row>
    <row r="192" spans="26:30" ht="12.75">
      <c r="Z192" s="188" t="s">
        <v>471</v>
      </c>
      <c r="AA192" s="115">
        <v>863</v>
      </c>
      <c r="AB192" s="119">
        <v>0.11</v>
      </c>
      <c r="AC192" s="57" t="s">
        <v>198</v>
      </c>
      <c r="AD192" s="117"/>
    </row>
    <row r="193" spans="26:30" ht="12.75">
      <c r="Z193" s="188" t="s">
        <v>472</v>
      </c>
      <c r="AA193" s="115">
        <v>863</v>
      </c>
      <c r="AB193" s="119">
        <v>0.13</v>
      </c>
      <c r="AC193" s="57" t="s">
        <v>150</v>
      </c>
      <c r="AD193" s="57"/>
    </row>
    <row r="194" spans="26:30" ht="12.75">
      <c r="Z194" s="188" t="s">
        <v>469</v>
      </c>
      <c r="AA194" s="115">
        <v>513</v>
      </c>
      <c r="AB194" s="119">
        <v>0.11</v>
      </c>
      <c r="AC194" s="57" t="s">
        <v>198</v>
      </c>
      <c r="AD194" s="57"/>
    </row>
    <row r="195" spans="26:30" ht="12.75">
      <c r="Z195" s="9" t="s">
        <v>234</v>
      </c>
      <c r="AA195" s="114">
        <v>317</v>
      </c>
      <c r="AB195" s="119">
        <v>0.11</v>
      </c>
      <c r="AC195" s="8" t="s">
        <v>150</v>
      </c>
      <c r="AD195" s="117"/>
    </row>
    <row r="196" spans="26:30" ht="12.75">
      <c r="Z196" s="9" t="s">
        <v>235</v>
      </c>
      <c r="AA196" s="114">
        <v>317</v>
      </c>
      <c r="AB196" s="119">
        <v>0.11</v>
      </c>
      <c r="AC196" s="8" t="s">
        <v>198</v>
      </c>
      <c r="AD196" s="117"/>
    </row>
    <row r="197" spans="26:30" ht="12.75">
      <c r="Z197" s="9" t="s">
        <v>236</v>
      </c>
      <c r="AA197" s="114">
        <v>317</v>
      </c>
      <c r="AB197" s="119">
        <v>0.11</v>
      </c>
      <c r="AC197" s="8" t="s">
        <v>150</v>
      </c>
      <c r="AD197" s="117"/>
    </row>
    <row r="198" spans="26:30" ht="12.75">
      <c r="Z198" s="9" t="s">
        <v>237</v>
      </c>
      <c r="AA198" s="114">
        <v>317</v>
      </c>
      <c r="AB198" s="119">
        <v>0.07</v>
      </c>
      <c r="AC198" s="8" t="s">
        <v>198</v>
      </c>
      <c r="AD198" s="117"/>
    </row>
    <row r="199" spans="26:30" ht="12.75">
      <c r="Z199" s="9" t="s">
        <v>238</v>
      </c>
      <c r="AA199" s="114">
        <v>317</v>
      </c>
      <c r="AB199" s="119">
        <v>0.11</v>
      </c>
      <c r="AC199" s="8" t="s">
        <v>150</v>
      </c>
      <c r="AD199" s="117"/>
    </row>
    <row r="200" spans="26:30" ht="12.75">
      <c r="Z200" s="9" t="s">
        <v>239</v>
      </c>
      <c r="AA200" s="114">
        <v>317</v>
      </c>
      <c r="AB200" s="119">
        <v>0.11</v>
      </c>
      <c r="AC200" s="8" t="s">
        <v>198</v>
      </c>
      <c r="AD200" s="117"/>
    </row>
    <row r="201" spans="26:30" ht="12.75">
      <c r="Z201" s="9" t="s">
        <v>240</v>
      </c>
      <c r="AA201" s="114">
        <v>863</v>
      </c>
      <c r="AB201" s="119">
        <v>0.08</v>
      </c>
      <c r="AC201" s="8" t="s">
        <v>198</v>
      </c>
      <c r="AD201" s="117"/>
    </row>
    <row r="202" spans="26:30" ht="12.75">
      <c r="Z202" s="9" t="s">
        <v>515</v>
      </c>
      <c r="AA202" s="114">
        <v>863</v>
      </c>
      <c r="AB202" s="119">
        <v>0.115</v>
      </c>
      <c r="AC202" s="8" t="s">
        <v>150</v>
      </c>
      <c r="AD202" s="117"/>
    </row>
    <row r="203" spans="26:30" ht="12.75">
      <c r="Z203" s="188" t="s">
        <v>480</v>
      </c>
      <c r="AA203" s="115">
        <v>317</v>
      </c>
      <c r="AB203" s="119">
        <v>0.1</v>
      </c>
      <c r="AC203" s="57" t="s">
        <v>150</v>
      </c>
      <c r="AD203" s="117"/>
    </row>
    <row r="204" spans="26:30" ht="12.75">
      <c r="Z204" s="188" t="s">
        <v>481</v>
      </c>
      <c r="AA204" s="115">
        <v>317</v>
      </c>
      <c r="AB204" s="119">
        <v>0.1</v>
      </c>
      <c r="AC204" s="57" t="s">
        <v>198</v>
      </c>
      <c r="AD204" s="117"/>
    </row>
    <row r="205" spans="26:30" ht="12.75">
      <c r="Z205" s="188" t="s">
        <v>506</v>
      </c>
      <c r="AA205" s="115">
        <v>317</v>
      </c>
      <c r="AB205" s="119">
        <v>0.135</v>
      </c>
      <c r="AC205" s="57" t="s">
        <v>198</v>
      </c>
      <c r="AD205" s="117"/>
    </row>
    <row r="206" spans="26:30" ht="12.75">
      <c r="Z206" s="188" t="s">
        <v>502</v>
      </c>
      <c r="AA206" s="115">
        <v>317</v>
      </c>
      <c r="AB206" s="119">
        <v>0.135</v>
      </c>
      <c r="AC206" s="57" t="s">
        <v>150</v>
      </c>
      <c r="AD206" s="117"/>
    </row>
    <row r="207" spans="26:30" ht="12.75">
      <c r="Z207" s="188" t="s">
        <v>507</v>
      </c>
      <c r="AA207" s="115">
        <v>317</v>
      </c>
      <c r="AB207" s="119">
        <v>0.135</v>
      </c>
      <c r="AC207" s="57" t="s">
        <v>150</v>
      </c>
      <c r="AD207" s="117"/>
    </row>
    <row r="208" spans="26:30" ht="12.75">
      <c r="Z208" s="9" t="s">
        <v>241</v>
      </c>
      <c r="AA208" s="114">
        <v>513</v>
      </c>
      <c r="AB208" s="119">
        <v>0.09</v>
      </c>
      <c r="AC208" s="8" t="s">
        <v>199</v>
      </c>
      <c r="AD208" s="117"/>
    </row>
    <row r="209" spans="26:30" ht="12.75">
      <c r="Z209" s="9" t="s">
        <v>242</v>
      </c>
      <c r="AA209" s="114">
        <v>513</v>
      </c>
      <c r="AB209" s="119">
        <v>0.09</v>
      </c>
      <c r="AC209" s="8" t="s">
        <v>199</v>
      </c>
      <c r="AD209" s="117"/>
    </row>
    <row r="210" spans="26:30" ht="12.75">
      <c r="Z210" s="9" t="s">
        <v>243</v>
      </c>
      <c r="AA210" s="114">
        <v>513</v>
      </c>
      <c r="AB210" s="119">
        <v>0.09</v>
      </c>
      <c r="AC210" s="8" t="s">
        <v>199</v>
      </c>
      <c r="AD210" s="117"/>
    </row>
    <row r="211" spans="26:30" ht="12.75">
      <c r="Z211" s="9" t="s">
        <v>244</v>
      </c>
      <c r="AA211" s="114">
        <v>0</v>
      </c>
      <c r="AB211" s="119">
        <v>0.0375</v>
      </c>
      <c r="AC211" s="8" t="s">
        <v>199</v>
      </c>
      <c r="AD211" s="117"/>
    </row>
    <row r="212" spans="26:30" ht="12.75">
      <c r="Z212" s="9" t="s">
        <v>433</v>
      </c>
      <c r="AA212" s="114">
        <v>317</v>
      </c>
      <c r="AB212" s="119">
        <v>0.11</v>
      </c>
      <c r="AC212" s="8" t="s">
        <v>198</v>
      </c>
      <c r="AD212" s="117"/>
    </row>
    <row r="213" spans="26:30" ht="12.75">
      <c r="Z213" s="9" t="s">
        <v>434</v>
      </c>
      <c r="AA213" s="114">
        <v>317</v>
      </c>
      <c r="AB213" s="119">
        <v>0.11</v>
      </c>
      <c r="AC213" s="8" t="s">
        <v>150</v>
      </c>
      <c r="AD213" s="57"/>
    </row>
    <row r="214" spans="26:30" ht="12.75">
      <c r="Z214" s="9" t="s">
        <v>435</v>
      </c>
      <c r="AA214" s="114">
        <v>513</v>
      </c>
      <c r="AB214" s="119">
        <v>0.1</v>
      </c>
      <c r="AC214" s="8" t="s">
        <v>199</v>
      </c>
      <c r="AD214" s="57"/>
    </row>
    <row r="215" spans="26:30" ht="12.75">
      <c r="Z215" s="9" t="s">
        <v>436</v>
      </c>
      <c r="AA215" s="114">
        <v>317</v>
      </c>
      <c r="AB215" s="119">
        <v>0.11</v>
      </c>
      <c r="AC215" s="8" t="s">
        <v>198</v>
      </c>
      <c r="AD215" s="57"/>
    </row>
    <row r="216" spans="26:30" ht="12.75">
      <c r="Z216" s="9" t="s">
        <v>437</v>
      </c>
      <c r="AA216" s="114">
        <v>317</v>
      </c>
      <c r="AB216" s="119">
        <v>0.11</v>
      </c>
      <c r="AC216" s="8" t="s">
        <v>150</v>
      </c>
      <c r="AD216" s="57"/>
    </row>
    <row r="217" spans="26:30" ht="12.75">
      <c r="Z217" s="9" t="s">
        <v>575</v>
      </c>
      <c r="AA217" s="114">
        <v>513</v>
      </c>
      <c r="AB217" s="119">
        <v>0.05</v>
      </c>
      <c r="AC217" s="8" t="s">
        <v>199</v>
      </c>
      <c r="AD217" s="57"/>
    </row>
    <row r="218" spans="26:30" ht="12.75">
      <c r="Z218" s="9" t="s">
        <v>438</v>
      </c>
      <c r="AA218" s="114">
        <v>513</v>
      </c>
      <c r="AB218" s="119">
        <v>0.1</v>
      </c>
      <c r="AC218" s="8" t="s">
        <v>199</v>
      </c>
      <c r="AD218" s="57"/>
    </row>
    <row r="219" spans="26:30" ht="12.75">
      <c r="Z219" s="9" t="s">
        <v>439</v>
      </c>
      <c r="AA219" s="114">
        <v>513</v>
      </c>
      <c r="AB219" s="119">
        <v>0.1</v>
      </c>
      <c r="AC219" s="8" t="s">
        <v>199</v>
      </c>
      <c r="AD219" s="57"/>
    </row>
    <row r="220" spans="26:29" ht="12.75">
      <c r="Z220" s="9" t="s">
        <v>457</v>
      </c>
      <c r="AA220" s="114">
        <v>513</v>
      </c>
      <c r="AB220" s="119">
        <v>0.09</v>
      </c>
      <c r="AC220" s="8" t="s">
        <v>199</v>
      </c>
    </row>
    <row r="221" spans="26:29" ht="12.75">
      <c r="Z221" s="188" t="s">
        <v>466</v>
      </c>
      <c r="AA221" s="115">
        <v>513</v>
      </c>
      <c r="AB221" s="119">
        <v>0.09</v>
      </c>
      <c r="AC221" s="57" t="s">
        <v>199</v>
      </c>
    </row>
    <row r="222" spans="26:29" ht="12.75">
      <c r="Z222" s="188" t="s">
        <v>464</v>
      </c>
      <c r="AA222" s="115">
        <v>317</v>
      </c>
      <c r="AB222" s="119">
        <v>0.09</v>
      </c>
      <c r="AC222" s="57" t="s">
        <v>198</v>
      </c>
    </row>
    <row r="223" spans="26:29" ht="12.75">
      <c r="Z223" s="188" t="s">
        <v>465</v>
      </c>
      <c r="AA223" s="115">
        <v>317</v>
      </c>
      <c r="AB223" s="119">
        <v>0.1</v>
      </c>
      <c r="AC223" s="57" t="s">
        <v>150</v>
      </c>
    </row>
    <row r="224" spans="26:29" ht="12.75">
      <c r="Z224" s="9" t="s">
        <v>455</v>
      </c>
      <c r="AA224" s="114">
        <v>317</v>
      </c>
      <c r="AB224" s="119">
        <v>0.1</v>
      </c>
      <c r="AC224" s="8" t="s">
        <v>198</v>
      </c>
    </row>
    <row r="225" spans="26:29" ht="12.75">
      <c r="Z225" s="9" t="s">
        <v>456</v>
      </c>
      <c r="AA225" s="114">
        <v>317</v>
      </c>
      <c r="AB225" s="119">
        <v>0.1</v>
      </c>
      <c r="AC225" s="8" t="s">
        <v>150</v>
      </c>
    </row>
    <row r="226" spans="26:29" ht="12.75">
      <c r="Z226" s="9" t="s">
        <v>458</v>
      </c>
      <c r="AA226" s="114">
        <v>513</v>
      </c>
      <c r="AB226" s="119">
        <v>0.09</v>
      </c>
      <c r="AC226" s="8" t="s">
        <v>199</v>
      </c>
    </row>
    <row r="227" spans="26:29" ht="12.75">
      <c r="Z227" s="188" t="s">
        <v>478</v>
      </c>
      <c r="AA227" s="115">
        <v>513</v>
      </c>
      <c r="AB227" s="119">
        <v>0.09</v>
      </c>
      <c r="AC227" s="57" t="s">
        <v>199</v>
      </c>
    </row>
    <row r="228" spans="26:29" ht="12.75">
      <c r="Z228" s="188" t="s">
        <v>479</v>
      </c>
      <c r="AA228" s="115">
        <v>513</v>
      </c>
      <c r="AB228" s="119">
        <v>0.095</v>
      </c>
      <c r="AC228" s="57" t="s">
        <v>199</v>
      </c>
    </row>
    <row r="229" spans="26:29" ht="12.75">
      <c r="Z229" s="9" t="s">
        <v>400</v>
      </c>
      <c r="AA229" s="114">
        <v>513</v>
      </c>
      <c r="AB229" s="119">
        <v>0.1</v>
      </c>
      <c r="AC229" s="8" t="s">
        <v>199</v>
      </c>
    </row>
    <row r="230" spans="26:29" ht="12.75">
      <c r="Z230" s="9" t="s">
        <v>401</v>
      </c>
      <c r="AA230" s="114">
        <v>513</v>
      </c>
      <c r="AB230" s="119">
        <v>0.1</v>
      </c>
      <c r="AC230" s="8" t="s">
        <v>199</v>
      </c>
    </row>
    <row r="231" spans="26:29" ht="12.75">
      <c r="Z231" s="9" t="s">
        <v>492</v>
      </c>
      <c r="AA231" s="114">
        <v>513</v>
      </c>
      <c r="AB231" s="119">
        <v>0.1</v>
      </c>
      <c r="AC231" s="8" t="s">
        <v>199</v>
      </c>
    </row>
    <row r="232" spans="26:29" ht="12.75">
      <c r="Z232" s="9" t="s">
        <v>501</v>
      </c>
      <c r="AA232" s="114">
        <v>513</v>
      </c>
      <c r="AB232" s="119">
        <v>0.125</v>
      </c>
      <c r="AC232" s="8" t="s">
        <v>199</v>
      </c>
    </row>
    <row r="233" spans="26:29" ht="12.75">
      <c r="Z233" s="9" t="s">
        <v>402</v>
      </c>
      <c r="AA233" s="114">
        <v>513</v>
      </c>
      <c r="AB233" s="119">
        <v>0.1</v>
      </c>
      <c r="AC233" s="8" t="s">
        <v>199</v>
      </c>
    </row>
    <row r="234" spans="26:29" ht="12.75">
      <c r="Z234" s="9" t="s">
        <v>403</v>
      </c>
      <c r="AA234" s="114">
        <v>513</v>
      </c>
      <c r="AB234" s="119">
        <v>0.1</v>
      </c>
      <c r="AC234" s="8" t="s">
        <v>199</v>
      </c>
    </row>
    <row r="235" spans="26:29" ht="12.75">
      <c r="Z235" s="9" t="s">
        <v>404</v>
      </c>
      <c r="AA235" s="114">
        <v>513</v>
      </c>
      <c r="AB235" s="119">
        <v>0.1</v>
      </c>
      <c r="AC235" s="8" t="s">
        <v>199</v>
      </c>
    </row>
    <row r="236" spans="26:29" ht="12.75">
      <c r="Z236" s="9" t="s">
        <v>405</v>
      </c>
      <c r="AA236" s="114">
        <v>513</v>
      </c>
      <c r="AB236" s="119">
        <v>0.1</v>
      </c>
      <c r="AC236" s="8" t="s">
        <v>199</v>
      </c>
    </row>
    <row r="237" spans="26:29" ht="12.75">
      <c r="Z237" s="9" t="s">
        <v>493</v>
      </c>
      <c r="AA237" s="114">
        <v>513</v>
      </c>
      <c r="AB237" s="119">
        <v>0.1</v>
      </c>
      <c r="AC237" s="8" t="s">
        <v>199</v>
      </c>
    </row>
    <row r="238" spans="26:29" ht="12.75">
      <c r="Z238" s="9" t="s">
        <v>576</v>
      </c>
      <c r="AA238" s="114">
        <v>513</v>
      </c>
      <c r="AB238" s="119">
        <v>0.05</v>
      </c>
      <c r="AC238" s="8" t="s">
        <v>199</v>
      </c>
    </row>
    <row r="239" spans="26:29" ht="12.75">
      <c r="Z239" s="9" t="s">
        <v>494</v>
      </c>
      <c r="AA239" s="114">
        <v>513</v>
      </c>
      <c r="AB239" s="119">
        <v>0.1</v>
      </c>
      <c r="AC239" s="8" t="s">
        <v>199</v>
      </c>
    </row>
    <row r="240" spans="26:29" ht="12.75">
      <c r="Z240" s="9" t="s">
        <v>505</v>
      </c>
      <c r="AA240" s="114">
        <v>513</v>
      </c>
      <c r="AB240" s="119">
        <v>0.125</v>
      </c>
      <c r="AC240" s="8" t="s">
        <v>199</v>
      </c>
    </row>
    <row r="241" spans="26:29" ht="12.75">
      <c r="Z241" s="9" t="s">
        <v>406</v>
      </c>
      <c r="AA241" s="114">
        <v>513</v>
      </c>
      <c r="AB241" s="119">
        <v>0.1</v>
      </c>
      <c r="AC241" s="8" t="s">
        <v>199</v>
      </c>
    </row>
    <row r="242" spans="26:29" ht="12.75">
      <c r="Z242" s="9" t="s">
        <v>407</v>
      </c>
      <c r="AA242" s="114">
        <v>513</v>
      </c>
      <c r="AB242" s="119">
        <v>0.1</v>
      </c>
      <c r="AC242" s="8" t="s">
        <v>199</v>
      </c>
    </row>
    <row r="243" spans="26:29" ht="12.75">
      <c r="Z243" s="9" t="s">
        <v>408</v>
      </c>
      <c r="AA243" s="114">
        <v>513</v>
      </c>
      <c r="AB243" s="119">
        <v>0.1</v>
      </c>
      <c r="AC243" s="8" t="s">
        <v>199</v>
      </c>
    </row>
    <row r="244" spans="26:29" ht="12.75">
      <c r="Z244" s="9" t="s">
        <v>441</v>
      </c>
      <c r="AA244" s="114">
        <v>513</v>
      </c>
      <c r="AB244" s="119">
        <v>0.08</v>
      </c>
      <c r="AC244" s="8" t="s">
        <v>199</v>
      </c>
    </row>
    <row r="245" spans="26:29" ht="12.75">
      <c r="Z245" s="9" t="s">
        <v>442</v>
      </c>
      <c r="AA245" s="114">
        <v>513</v>
      </c>
      <c r="AB245" s="119">
        <v>0.08</v>
      </c>
      <c r="AC245" s="8" t="s">
        <v>199</v>
      </c>
    </row>
    <row r="246" spans="26:29" ht="12.75">
      <c r="Z246" s="9" t="s">
        <v>443</v>
      </c>
      <c r="AA246" s="114">
        <v>513</v>
      </c>
      <c r="AB246" s="119">
        <v>0.09</v>
      </c>
      <c r="AC246" s="8" t="s">
        <v>199</v>
      </c>
    </row>
    <row r="247" spans="26:29" ht="12.75">
      <c r="Z247" s="9" t="s">
        <v>444</v>
      </c>
      <c r="AA247" s="114">
        <v>513</v>
      </c>
      <c r="AB247" s="119">
        <v>0.09</v>
      </c>
      <c r="AC247" s="8" t="s">
        <v>199</v>
      </c>
    </row>
    <row r="248" spans="26:29" ht="12.75">
      <c r="Z248" s="188" t="s">
        <v>473</v>
      </c>
      <c r="AA248" s="115">
        <v>513</v>
      </c>
      <c r="AB248" s="119">
        <v>0.08</v>
      </c>
      <c r="AC248" s="57" t="s">
        <v>199</v>
      </c>
    </row>
    <row r="249" spans="26:29" ht="12.75">
      <c r="Z249" s="188" t="s">
        <v>474</v>
      </c>
      <c r="AA249" s="115">
        <v>513</v>
      </c>
      <c r="AB249" s="119">
        <v>0.09</v>
      </c>
      <c r="AC249" s="57" t="s">
        <v>199</v>
      </c>
    </row>
    <row r="250" spans="26:29" ht="12.75">
      <c r="Z250" s="188" t="s">
        <v>496</v>
      </c>
      <c r="AA250" s="115">
        <v>513</v>
      </c>
      <c r="AB250" s="119">
        <v>0.125</v>
      </c>
      <c r="AC250" s="57" t="s">
        <v>199</v>
      </c>
    </row>
    <row r="251" spans="26:29" ht="12.75">
      <c r="Z251" s="188" t="s">
        <v>488</v>
      </c>
      <c r="AA251" s="115">
        <v>513</v>
      </c>
      <c r="AB251" s="119">
        <v>0.09</v>
      </c>
      <c r="AC251" s="57" t="s">
        <v>199</v>
      </c>
    </row>
    <row r="252" spans="26:29" ht="12.75">
      <c r="Z252" s="188" t="s">
        <v>489</v>
      </c>
      <c r="AA252" s="115">
        <v>513</v>
      </c>
      <c r="AB252" s="119">
        <v>0.09</v>
      </c>
      <c r="AC252" s="57" t="s">
        <v>199</v>
      </c>
    </row>
    <row r="253" spans="26:29" ht="12.75">
      <c r="Z253" s="188" t="s">
        <v>490</v>
      </c>
      <c r="AA253" s="115">
        <v>513</v>
      </c>
      <c r="AB253" s="119">
        <v>0.08</v>
      </c>
      <c r="AC253" s="57" t="s">
        <v>199</v>
      </c>
    </row>
    <row r="254" spans="26:29" ht="12.75">
      <c r="Z254" s="188" t="s">
        <v>491</v>
      </c>
      <c r="AA254" s="115">
        <v>513</v>
      </c>
      <c r="AB254" s="119">
        <v>0.095</v>
      </c>
      <c r="AC254" s="57" t="s">
        <v>199</v>
      </c>
    </row>
    <row r="255" spans="26:29" ht="12.75">
      <c r="Z255" s="9" t="s">
        <v>245</v>
      </c>
      <c r="AA255" s="114">
        <v>0</v>
      </c>
      <c r="AB255" s="119">
        <v>0.08</v>
      </c>
      <c r="AC255" s="8" t="s">
        <v>198</v>
      </c>
    </row>
    <row r="256" spans="26:30" ht="12.75">
      <c r="Z256" s="9" t="s">
        <v>246</v>
      </c>
      <c r="AA256" s="114">
        <v>0</v>
      </c>
      <c r="AB256" s="119">
        <v>0.01</v>
      </c>
      <c r="AC256" s="8" t="s">
        <v>198</v>
      </c>
      <c r="AD256" s="117"/>
    </row>
    <row r="257" spans="26:30" ht="12.75">
      <c r="Z257" s="9" t="s">
        <v>247</v>
      </c>
      <c r="AA257" s="114">
        <v>0</v>
      </c>
      <c r="AB257" s="119">
        <v>0.01</v>
      </c>
      <c r="AC257" s="8" t="s">
        <v>150</v>
      </c>
      <c r="AD257" s="117"/>
    </row>
    <row r="258" spans="26:30" ht="12.75">
      <c r="Z258" s="94" t="s">
        <v>577</v>
      </c>
      <c r="AA258" s="190">
        <v>0</v>
      </c>
      <c r="AB258" s="191">
        <v>0</v>
      </c>
      <c r="AC258" s="143" t="s">
        <v>198</v>
      </c>
      <c r="AD258" s="117"/>
    </row>
    <row r="259" spans="26:30" ht="12.75">
      <c r="Z259" s="94" t="s">
        <v>516</v>
      </c>
      <c r="AA259" s="190">
        <v>0</v>
      </c>
      <c r="AB259" s="191">
        <v>0.16</v>
      </c>
      <c r="AC259" s="143" t="s">
        <v>150</v>
      </c>
      <c r="AD259" s="117"/>
    </row>
    <row r="260" spans="26:30" ht="12.75">
      <c r="Z260" s="94" t="s">
        <v>517</v>
      </c>
      <c r="AA260" s="190">
        <v>0</v>
      </c>
      <c r="AB260" s="191">
        <v>0.16</v>
      </c>
      <c r="AC260" s="143" t="s">
        <v>198</v>
      </c>
      <c r="AD260" s="117"/>
    </row>
    <row r="261" spans="26:30" ht="12.75">
      <c r="Z261" s="94" t="s">
        <v>578</v>
      </c>
      <c r="AA261" s="190">
        <v>0</v>
      </c>
      <c r="AB261" s="191">
        <v>0.08</v>
      </c>
      <c r="AC261" s="143" t="s">
        <v>150</v>
      </c>
      <c r="AD261" s="117"/>
    </row>
    <row r="262" spans="26:30" ht="12.75">
      <c r="Z262" s="94" t="s">
        <v>579</v>
      </c>
      <c r="AA262" s="190">
        <v>0</v>
      </c>
      <c r="AB262" s="191">
        <v>0</v>
      </c>
      <c r="AC262" s="143" t="s">
        <v>198</v>
      </c>
      <c r="AD262" s="117"/>
    </row>
    <row r="263" spans="26:30" ht="12.75">
      <c r="Z263" s="9" t="s">
        <v>580</v>
      </c>
      <c r="AA263" s="114">
        <v>0</v>
      </c>
      <c r="AB263" s="119">
        <v>0</v>
      </c>
      <c r="AC263" s="8" t="s">
        <v>150</v>
      </c>
      <c r="AD263" s="117"/>
    </row>
    <row r="264" spans="26:30" ht="12.75">
      <c r="Z264" s="9" t="s">
        <v>581</v>
      </c>
      <c r="AA264" s="114">
        <v>0</v>
      </c>
      <c r="AB264" s="119">
        <v>0</v>
      </c>
      <c r="AC264" s="8" t="s">
        <v>198</v>
      </c>
      <c r="AD264" s="117"/>
    </row>
    <row r="265" spans="26:29" ht="12.75">
      <c r="Z265" s="9" t="s">
        <v>582</v>
      </c>
      <c r="AA265" s="114">
        <v>0</v>
      </c>
      <c r="AB265" s="119">
        <v>0</v>
      </c>
      <c r="AC265" s="8" t="s">
        <v>150</v>
      </c>
    </row>
    <row r="266" spans="26:29" ht="12.75">
      <c r="Z266" s="9" t="s">
        <v>583</v>
      </c>
      <c r="AA266" s="114">
        <v>0</v>
      </c>
      <c r="AB266" s="119">
        <v>0</v>
      </c>
      <c r="AC266" s="8" t="s">
        <v>198</v>
      </c>
    </row>
    <row r="267" spans="26:29" ht="12.75">
      <c r="Z267" s="9" t="s">
        <v>584</v>
      </c>
      <c r="AA267" s="114">
        <v>0</v>
      </c>
      <c r="AB267" s="119">
        <v>0</v>
      </c>
      <c r="AC267" s="8" t="s">
        <v>150</v>
      </c>
    </row>
    <row r="268" spans="26:29" ht="12.75">
      <c r="Z268" s="9" t="s">
        <v>248</v>
      </c>
      <c r="AA268" s="114">
        <v>0</v>
      </c>
      <c r="AB268" s="119">
        <v>0.08</v>
      </c>
      <c r="AC268" s="8" t="s">
        <v>150</v>
      </c>
    </row>
    <row r="269" spans="26:29" ht="12.75">
      <c r="Z269" s="9" t="s">
        <v>585</v>
      </c>
      <c r="AA269" s="114">
        <v>0</v>
      </c>
      <c r="AB269" s="119">
        <v>0.04</v>
      </c>
      <c r="AC269" s="8" t="s">
        <v>199</v>
      </c>
    </row>
    <row r="270" spans="26:29" ht="12.75">
      <c r="Z270" s="9" t="s">
        <v>586</v>
      </c>
      <c r="AA270" s="114">
        <v>0</v>
      </c>
      <c r="AB270" s="119">
        <v>0.08</v>
      </c>
      <c r="AC270" s="8" t="s">
        <v>199</v>
      </c>
    </row>
    <row r="271" spans="26:29" ht="12.75">
      <c r="Z271" s="9" t="s">
        <v>198</v>
      </c>
      <c r="AA271" s="114">
        <v>0</v>
      </c>
      <c r="AB271" s="119">
        <v>0</v>
      </c>
      <c r="AC271" s="8" t="s">
        <v>198</v>
      </c>
    </row>
    <row r="272" spans="26:29" ht="12.75">
      <c r="Z272" s="9" t="s">
        <v>587</v>
      </c>
      <c r="AA272" s="114">
        <v>0</v>
      </c>
      <c r="AB272" s="119">
        <v>0</v>
      </c>
      <c r="AC272" s="8" t="s">
        <v>150</v>
      </c>
    </row>
    <row r="273" spans="26:29" ht="12.75">
      <c r="Z273" s="9" t="s">
        <v>249</v>
      </c>
      <c r="AA273" s="114">
        <v>0</v>
      </c>
      <c r="AB273" s="119">
        <v>0</v>
      </c>
      <c r="AC273" s="8" t="s">
        <v>150</v>
      </c>
    </row>
    <row r="274" spans="26:29" ht="12.75">
      <c r="Z274" s="9" t="s">
        <v>156</v>
      </c>
      <c r="AA274" s="114">
        <v>0</v>
      </c>
      <c r="AB274" s="119">
        <v>0</v>
      </c>
      <c r="AC274" s="8" t="s">
        <v>199</v>
      </c>
    </row>
    <row r="275" spans="26:29" ht="12.75">
      <c r="Z275" s="9" t="s">
        <v>159</v>
      </c>
      <c r="AA275" s="114">
        <v>0</v>
      </c>
      <c r="AB275" s="119">
        <v>0.08</v>
      </c>
      <c r="AC275" s="8" t="s">
        <v>198</v>
      </c>
    </row>
    <row r="276" spans="26:29" ht="12.75">
      <c r="Z276" s="9" t="s">
        <v>250</v>
      </c>
      <c r="AA276" s="114">
        <v>0</v>
      </c>
      <c r="AB276" s="119">
        <v>0.1025</v>
      </c>
      <c r="AC276" s="8" t="s">
        <v>150</v>
      </c>
    </row>
    <row r="277" spans="26:29" ht="12.75">
      <c r="Z277" s="9" t="s">
        <v>527</v>
      </c>
      <c r="AA277" s="114">
        <v>0</v>
      </c>
      <c r="AB277" s="119">
        <v>0.856</v>
      </c>
      <c r="AC277" s="8" t="s">
        <v>150</v>
      </c>
    </row>
    <row r="278" spans="26:29" ht="12.75">
      <c r="Z278" s="9" t="s">
        <v>251</v>
      </c>
      <c r="AA278" s="114">
        <v>0</v>
      </c>
      <c r="AB278" s="119">
        <v>0.075</v>
      </c>
      <c r="AC278" s="8" t="s">
        <v>198</v>
      </c>
    </row>
    <row r="279" spans="26:29" ht="12.75">
      <c r="Z279" s="9" t="s">
        <v>252</v>
      </c>
      <c r="AA279" s="114">
        <v>513</v>
      </c>
      <c r="AB279" s="119">
        <v>0.09</v>
      </c>
      <c r="AC279" s="8" t="s">
        <v>199</v>
      </c>
    </row>
    <row r="280" spans="26:29" ht="12.75">
      <c r="Z280" s="9" t="s">
        <v>253</v>
      </c>
      <c r="AA280" s="114">
        <v>513</v>
      </c>
      <c r="AB280" s="119">
        <v>0.09</v>
      </c>
      <c r="AC280" s="8" t="s">
        <v>199</v>
      </c>
    </row>
    <row r="281" spans="26:29" ht="12.75">
      <c r="Z281" s="9" t="s">
        <v>254</v>
      </c>
      <c r="AA281" s="114">
        <v>513</v>
      </c>
      <c r="AB281" s="119">
        <v>0.09</v>
      </c>
      <c r="AC281" s="8" t="s">
        <v>199</v>
      </c>
    </row>
    <row r="282" spans="26:29" ht="12.75">
      <c r="Z282" s="9" t="s">
        <v>255</v>
      </c>
      <c r="AA282" s="114">
        <v>513</v>
      </c>
      <c r="AB282" s="119">
        <v>0.09</v>
      </c>
      <c r="AC282" s="8" t="s">
        <v>199</v>
      </c>
    </row>
    <row r="283" spans="26:29" ht="12.75">
      <c r="Z283" s="9" t="s">
        <v>257</v>
      </c>
      <c r="AA283" s="114">
        <v>513</v>
      </c>
      <c r="AB283" s="119">
        <v>0.08</v>
      </c>
      <c r="AC283" s="8" t="s">
        <v>199</v>
      </c>
    </row>
    <row r="284" spans="26:29" ht="12.75">
      <c r="Z284" s="9" t="s">
        <v>258</v>
      </c>
      <c r="AA284" s="114">
        <v>513</v>
      </c>
      <c r="AB284" s="119">
        <v>0.08</v>
      </c>
      <c r="AC284" s="8" t="s">
        <v>199</v>
      </c>
    </row>
    <row r="285" spans="26:29" ht="12.75">
      <c r="Z285" s="9" t="s">
        <v>259</v>
      </c>
      <c r="AA285" s="114">
        <v>513</v>
      </c>
      <c r="AB285" s="119">
        <v>0.05</v>
      </c>
      <c r="AC285" s="8" t="s">
        <v>199</v>
      </c>
    </row>
    <row r="286" spans="26:29" ht="12.75">
      <c r="Z286" s="9" t="s">
        <v>256</v>
      </c>
      <c r="AA286" s="114">
        <v>0</v>
      </c>
      <c r="AB286" s="119">
        <v>0.075</v>
      </c>
      <c r="AC286" s="8" t="s">
        <v>150</v>
      </c>
    </row>
    <row r="287" spans="26:29" ht="12.75">
      <c r="Z287" s="9" t="s">
        <v>588</v>
      </c>
      <c r="AA287" s="114">
        <v>513</v>
      </c>
      <c r="AB287" s="119">
        <v>0.05</v>
      </c>
      <c r="AC287" s="8" t="s">
        <v>199</v>
      </c>
    </row>
    <row r="288" spans="26:29" ht="12.75">
      <c r="Z288" s="9" t="s">
        <v>260</v>
      </c>
      <c r="AA288" s="114">
        <v>513</v>
      </c>
      <c r="AB288" s="119">
        <v>0.095</v>
      </c>
      <c r="AC288" s="8" t="s">
        <v>199</v>
      </c>
    </row>
    <row r="289" spans="26:29" ht="12.75">
      <c r="Z289" s="9" t="s">
        <v>261</v>
      </c>
      <c r="AA289" s="114">
        <v>513</v>
      </c>
      <c r="AB289" s="119">
        <v>0.05</v>
      </c>
      <c r="AC289" s="8" t="s">
        <v>199</v>
      </c>
    </row>
    <row r="290" spans="26:29" ht="12.75">
      <c r="Z290" s="9" t="s">
        <v>262</v>
      </c>
      <c r="AA290" s="114">
        <v>513</v>
      </c>
      <c r="AB290" s="119">
        <v>0.09</v>
      </c>
      <c r="AC290" s="8" t="s">
        <v>199</v>
      </c>
    </row>
    <row r="291" spans="26:29" ht="12.75">
      <c r="Z291" s="9" t="s">
        <v>263</v>
      </c>
      <c r="AA291" s="114">
        <v>0</v>
      </c>
      <c r="AB291" s="119">
        <v>0.075</v>
      </c>
      <c r="AC291" s="8" t="s">
        <v>198</v>
      </c>
    </row>
    <row r="292" spans="26:29" ht="12.75">
      <c r="Z292" s="9" t="s">
        <v>264</v>
      </c>
      <c r="AA292" s="114">
        <v>0</v>
      </c>
      <c r="AB292" s="119">
        <v>0.075</v>
      </c>
      <c r="AC292" s="8" t="s">
        <v>150</v>
      </c>
    </row>
    <row r="293" spans="26:29" ht="12.75">
      <c r="Z293" s="9" t="s">
        <v>265</v>
      </c>
      <c r="AA293" s="114">
        <v>513</v>
      </c>
      <c r="AB293" s="119">
        <v>0.05</v>
      </c>
      <c r="AC293" s="8" t="s">
        <v>199</v>
      </c>
    </row>
    <row r="294" ht="12.75">
      <c r="Z294" s="9"/>
    </row>
  </sheetData>
  <sheetProtection sheet="1" objects="1" scenarios="1"/>
  <mergeCells count="3">
    <mergeCell ref="J1:K1"/>
    <mergeCell ref="M47:N47"/>
    <mergeCell ref="J47:K47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ignoredErrors>
    <ignoredError sqref="C29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Contreras, Alice</cp:lastModifiedBy>
  <cp:lastPrinted>2016-06-23T18:08:42Z</cp:lastPrinted>
  <dcterms:created xsi:type="dcterms:W3CDTF">2001-09-13T14:13:59Z</dcterms:created>
  <dcterms:modified xsi:type="dcterms:W3CDTF">2018-12-17T23:27:29Z</dcterms:modified>
  <cp:category/>
  <cp:version/>
  <cp:contentType/>
  <cp:contentStatus/>
</cp:coreProperties>
</file>